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Charter Contacts" sheetId="2" r:id="rId5"/>
    <sheet state="visible" name="Page 1" sheetId="3" r:id="rId6"/>
    <sheet state="visible" name="Page 2" sheetId="4" r:id="rId7"/>
    <sheet state="visible" name="Page 3" sheetId="5" r:id="rId8"/>
    <sheet state="visible" name="Page 4" sheetId="6" r:id="rId9"/>
    <sheet state="visible" name="Budget Summary" sheetId="7" r:id="rId10"/>
    <sheet state="visible" name="Project balances" sheetId="8" r:id="rId11"/>
    <sheet state="visible" name="Data Entry" sheetId="9" r:id="rId12"/>
    <sheet state="visible" name="Calculations" sheetId="10" r:id="rId13"/>
    <sheet state="visible" name="BSA55" sheetId="11" r:id="rId14"/>
    <sheet state="visible" name="Instructions" sheetId="12" r:id="rId15"/>
  </sheets>
  <definedNames>
    <definedName name="CIP1072P265F2900PPL">'Page 4'!$G$38</definedName>
    <definedName name="SP1000P100F3000CY">'Page 1'!$K$17</definedName>
    <definedName name="SP1000StruEngImmProj">'Page 1'!$L$46</definedName>
    <definedName name="NonAOIStudCntK3">'Data Entry'!$I$39</definedName>
    <definedName name="CIP1072P265F1000">'Page 4'!$N$30</definedName>
    <definedName name="NonAOIStudCntMDR.AR.SIDR">'Data Entry'!$I$42</definedName>
    <definedName name="AOIFTStudCntG">'Data Entry'!$J$52</definedName>
    <definedName name="SP1000Total">'Page 1'!$L$43</definedName>
    <definedName name="CA0198CIP">'Page 2'!$E$45</definedName>
    <definedName name="TotalCSP630064006500">'Page 3'!$H$13</definedName>
    <definedName name="SP1000P540">'Page 1'!$L$41</definedName>
    <definedName name="P200ELLCompensatoryInstructionCY">'Page 2'!$M$8</definedName>
    <definedName name="PercentStatewideWeightedStudentCount">'Data Entry'!$C$82</definedName>
    <definedName name="SEIP1071P430F2700PPL">'Page 4'!$G$21</definedName>
    <definedName name="TotalFederalProjects">'Page 2'!$E$22</definedName>
    <definedName name="SP1430ChemicalAbuse">'Page 2'!$E$28</definedName>
    <definedName name="SP1000P610">'Page 1'!$L$20</definedName>
    <definedName name="P200VocationalandTechnologicalEd">'Page 2'!$N$10</definedName>
    <definedName name="SP1000P630700800900">'Page 1'!$L$22</definedName>
    <definedName name="SP1000P400">'Page 1'!$L$39</definedName>
    <definedName name="SP1000P200F2400">'Page 1'!$L$30</definedName>
    <definedName name="SEIP1071P260F1000">'Page 4'!$N$9</definedName>
    <definedName name="NonAOIStudCntOIR">'Data Entry'!$I$45</definedName>
    <definedName name="AOIPTStudCntK8CY">'Data Entry'!$I$19</definedName>
    <definedName name="TotalCSP6200">'Page 3'!$G$13</definedName>
    <definedName name="TotalCapitalAcquisitions">'Page 2'!$E$46</definedName>
    <definedName name="TotalCIP6200">'Page 4'!$I$43</definedName>
    <definedName name="CIP1072P265F2300PPL">'Page 4'!$G$34</definedName>
    <definedName name="StudCnt912CY">'Data Entry'!$L$20</definedName>
    <definedName name="SP1000ClassSiteProjCY">'Page 1'!$K$44</definedName>
    <definedName name="TotalCIP6100">'Page 4'!$H$43</definedName>
    <definedName name="IIPClassSizeReduction">'Page 2'!$N$22</definedName>
    <definedName name="AOIFTStudCntDD.ED.MIID.SLD.SLI.OHI">'Data Entry'!$J$48</definedName>
    <definedName name="IIPDropoutPreventionPrograms">'Page 2'!$N$23</definedName>
    <definedName name="SP14701499Other">'Page 2'!$E$35</definedName>
    <definedName name="IncreaseSinceFY18">Cover!$R$42</definedName>
    <definedName name="AOIFTStudCntMOID">'Data Entry'!$J$50</definedName>
    <definedName name="FP1250AEA">'Page 2'!$E$15</definedName>
    <definedName name="SP1000CompInstrProj">'Page 1'!$L$47</definedName>
    <definedName name="Total_Student_Count">'Data Entry'!$B$20</definedName>
    <definedName name="NonAOIStudCntMDSSI">'Data Entry'!$I$44</definedName>
    <definedName name="CharterContactInfo">Instructions!$C$7</definedName>
    <definedName name="_CSP2100">'Page 3'!$K$9</definedName>
    <definedName name="SalaryPercentageIncrease">Cover!$R$35</definedName>
    <definedName name="FTEcertified">#REF!</definedName>
    <definedName name="AOIFTStudCntFRPL">'Data Entry'!$J$53</definedName>
    <definedName name="Pg3ClassroomSiteProj">Instructions!$C$27</definedName>
    <definedName name="CharterName">Cover!$D$1</definedName>
    <definedName name="SP1000P200F4000CY">'Page 1'!$K$35</definedName>
    <definedName name="CIP1072P265F2400">'Page 4'!$N$35</definedName>
    <definedName name="ProjectBalancesLine1">Instructions!$C$33</definedName>
    <definedName name="AOIFTStudCntEDP">'Data Entry'!$J$49</definedName>
    <definedName name="SP1000P100F5000CY">'Page 1'!$K$19</definedName>
    <definedName name="NonAOIStudCntVI">'Data Entry'!$I$51</definedName>
    <definedName name="CIP1072P265F1000PPL">'Page 4'!$G$30</definedName>
    <definedName name="TotalCIP">'Page 4'!$N$43</definedName>
    <definedName name="AOIFTStudCntK3Read">'Data Entry'!$J$38</definedName>
    <definedName name="SP1000P200F3000">'Page 1'!$L$34</definedName>
    <definedName name="EstimatedRevenues">Instructions!$C$5</definedName>
    <definedName name="SEIP1071P260F2600PPL">'Page 4'!$G$16</definedName>
    <definedName name="FP1240WIA">'Page 2'!$E$14</definedName>
    <definedName name="Pg2Line1">Instructions!$C$20</definedName>
    <definedName name="P200CareerEducation">'Page 2'!$N$11</definedName>
    <definedName name="SP1000P200F2600CY">'Page 1'!$K$32</definedName>
    <definedName name="SEIP1071P260F2200">'Page 4'!$N$12</definedName>
    <definedName name="AOIFTStudCntHI">'Data Entry'!$J$41</definedName>
    <definedName name="_CSP1000">'Page 3'!$K$8</definedName>
    <definedName name="SP1000P100F2100CY">'Page 1'!$K$10</definedName>
    <definedName name="AOIFTStudCntOIR">'Data Entry'!$J$45</definedName>
    <definedName name="SP1000P200F2200">'Page 1'!$L$28</definedName>
    <definedName name="SP1000StruEngImmProjCY">'Page 1'!$K$46</definedName>
    <definedName name="AOIPTStudCntEDP">'Data Entry'!$K$49</definedName>
    <definedName name="FP1200TitleVII">'Page 2'!$E$10</definedName>
    <definedName name="K8SuppLvlWgt0.001to99.999">Calculations!$L$9</definedName>
    <definedName name="AOIPTStudCntVI">'Data Entry'!$K$51</definedName>
    <definedName name="Pg1Program550">Instructions!$C$10</definedName>
    <definedName name="FP1160TitleIV">'Page 2'!$E$7</definedName>
    <definedName name="SP1000P200F2900CY">'Page 1'!$K$33</definedName>
    <definedName name="CIP1072P265F2600PPL">'Page 4'!$G$37</definedName>
    <definedName name="NonAOIStudCntP.SD">'Data Entry'!$I$47</definedName>
    <definedName name="Pg2ExpensesByType">Instructions!$C$22</definedName>
    <definedName name="CIP1072P265F2100">'Page 4'!$N$32</definedName>
    <definedName name="ProjectBalancesLine4d">Instructions!$C$41</definedName>
    <definedName name="NonAOIStudCntDD.ED.MIID.SLD.SLI.OHI">'Data Entry'!$I$48</definedName>
    <definedName name="SalaryIncreaseFromPriorYear">Cover!$R$34</definedName>
    <definedName name="SP1000P100F2900CY">'Page 1'!$K$16</definedName>
    <definedName name="FP1210TitleVI">'Page 2'!$E$11</definedName>
    <definedName name="StudCntK8CY">'Data Entry'!$I$20</definedName>
    <definedName name="CSPTotal">'Page 3'!$K$13</definedName>
    <definedName name="SP1000InstrImpProjCY">'Page 1'!$K$45</definedName>
    <definedName name="AOIFTStudCntK3">'Data Entry'!$J$39</definedName>
    <definedName name="CoverGen1">Instructions!$C$2</definedName>
    <definedName name="SP1000P100F2200CY">'Page 1'!$K$11</definedName>
    <definedName name="CA0192SiteImprovements">'Page 2'!$E$42</definedName>
    <definedName name="G912SuppLvlWgt600.000Plus">Calculations!$N$27</definedName>
    <definedName name="SP1000P100F2100">'Page 1'!$L$10</definedName>
    <definedName name="TotalCIP630064006500">'Page 4'!$J$43</definedName>
    <definedName name="Pg2Line9">Instructions!$C$21</definedName>
    <definedName name="CIP1072P265F2200PPL">'Page 4'!$G$33</definedName>
    <definedName name="CIP1072P265F2400PPL">'Page 4'!$G$35</definedName>
    <definedName name="BudgetYearSalary">Cover!$R$32</definedName>
    <definedName name="FY18Average">Cover!$R$41</definedName>
    <definedName name="TotalCIP6600">'Page 4'!$K$43</definedName>
    <definedName name="SP1000InstrImpProj">'Page 1'!$L$45</definedName>
    <definedName name="TotalSEIP">'Page 4'!$N$22</definedName>
    <definedName name="P200ELLCompensatoryInstruction">'Page 2'!$N$8</definedName>
    <definedName name="Pg4CompensatoryInstructionProj">Instructions!$C$31</definedName>
    <definedName name="CIP1072P265F2600">'Page 4'!$N$37</definedName>
    <definedName name="FP12601270VocEd">'Page 2'!$E$16</definedName>
    <definedName name="TotalCSP6600">'Page 3'!$I$13</definedName>
    <definedName name="CIP1072P265F2500PPL">'Page 4'!$G$36</definedName>
    <definedName name="P200ELLIncrementalCosts">'Page 2'!$N$7</definedName>
    <definedName name="ProjectBalancesLine2a">Instructions!$C$34</definedName>
    <definedName name="ActAuditExpend">'Data Entry'!$C$74</definedName>
    <definedName name="SEIP1071P260F2100">'Page 4'!$N$11</definedName>
    <definedName name="SEIP1071P260F2900PPL">'Page 4'!$G$17</definedName>
    <definedName name="SP1000P620CY">'Page 1'!$K$21</definedName>
    <definedName name="AOIPTStudCntDD.ED.MIID.SLD.SLI.OHI">'Data Entry'!$K$48</definedName>
    <definedName name="BudgetVersion">Cover!$D$12</definedName>
    <definedName name="FP1300Charter">'Page 2'!$E$19</definedName>
    <definedName name="NonAOIStudCntEDP">'Data Entry'!$I$49</definedName>
    <definedName name="CA0181IntangibleAssets">'Page 2'!$E$40</definedName>
    <definedName name="SP1000CompInstrProjCY">'Page 1'!$K$47</definedName>
    <definedName name="SP1000P610CY">'Page 1'!$K$20</definedName>
    <definedName name="Pg1EmployeeBenefits">Instructions!$C$13</definedName>
    <definedName name="AOIPTStudCnt912CY">'Data Entry'!$L$19</definedName>
    <definedName name="G912SuppLvlWgt500.000to599.999">Calculations!$N$25</definedName>
    <definedName name="NonAOIStudCnt912CY">'Data Entry'!$L$17</definedName>
    <definedName name="NonAOIStudCntELL">'Data Entry'!$I$40</definedName>
    <definedName name="G912SuppLvlWgt0.001to99.999">Calculations!$N$9</definedName>
    <definedName name="CTD">Cover!$P$1</definedName>
    <definedName name="P200RemedialEducationCY">'Page 2'!$M$9</definedName>
    <definedName name="Pg2Lines3and4">Instructions!$C$25</definedName>
    <definedName name="SP1000P200F2100">'Page 1'!$L$27</definedName>
    <definedName name="SP1000P100F5000">'Page 1'!$L$19</definedName>
    <definedName name="IIPTeacherCompensationIncreases">'Page 2'!$N$21</definedName>
    <definedName name="P200ELLIncrementalCostsCY">'Page 2'!$M$7</definedName>
    <definedName name="Pg4EnglishLanguageLearnerProj">Instructions!$C$30</definedName>
    <definedName name="Version">Instructions!$C$4</definedName>
    <definedName name="FP11401150TitleII">'Page 2'!$E$6</definedName>
    <definedName name="SP1000P100F2200">'Page 1'!$L$11</definedName>
    <definedName name="_CSP2200">'Page 3'!$K$10</definedName>
    <definedName name="AOIFTStudCntP.SD">'Data Entry'!$J$47</definedName>
    <definedName name="AOIFTStudCntK8CY">'Data Entry'!$I$18</definedName>
    <definedName name="SP1000P100F2300CY">'Page 1'!$K$12</definedName>
    <definedName name="NonAOIStudCntOISC">'Data Entry'!$I$46</definedName>
    <definedName name="SP1000P530CY">'Page 1'!$K$40</definedName>
    <definedName name="AOIPTStudCntELL">'Data Entry'!$K$40</definedName>
    <definedName name="OtherStateProjects">Instructions!$C$17</definedName>
    <definedName name="_CSP2300">'Page 3'!$K$11</definedName>
    <definedName name="SEIP1071P260F2200PPL">'Page 4'!$G$12</definedName>
    <definedName name="NonAOIStudCntPSDCY">'Data Entry'!$F$17</definedName>
    <definedName name="SEIP1071P260F2900">'Page 4'!$N$17</definedName>
    <definedName name="CA0191Land">'Page 2'!$E$41</definedName>
    <definedName name="SP1000P100F2500">'Page 1'!$L$14</definedName>
    <definedName name="TotalSEIP6800">'Page 4'!$L$22</definedName>
    <definedName name="AOIFTStudCntMDSSI">'Data Entry'!$J$44</definedName>
    <definedName name="AOIPTStudCntMDSC.ASC.SIDSC">'Data Entry'!$K$43</definedName>
    <definedName name="TotalSEIP630064006500">'Page 4'!$J$22</definedName>
    <definedName name="IIPInstructionalImprovementPrograms">'Page 2'!$N$24</definedName>
    <definedName name="AOIPTStudCntHI">'Data Entry'!$K$41</definedName>
    <definedName name="SP1000P200F1000">'Page 1'!$L$25</definedName>
    <definedName name="ProjectBalancesLine2b">Instructions!$C$35</definedName>
    <definedName name="ProjectBalancesLine3b">Instructions!$C$37</definedName>
    <definedName name="SP1000P200F2200CY">'Page 1'!$K$28</definedName>
    <definedName name="SP1000TotalCY">'Page 1'!$K$43</definedName>
    <definedName name="SP1000P100F2600">'Page 1'!$L$15</definedName>
    <definedName name="SP1000P630700800900CY">'Page 1'!$K$22</definedName>
    <definedName name="SP1000P200F2900">'Page 1'!$L$33</definedName>
    <definedName name="SP1000P550">'Page 1'!$L$42</definedName>
    <definedName name="FP13__ImpactAid">'Page 2'!$E$20</definedName>
    <definedName name="SP1465CharterSchool">'Page 2'!$E$33</definedName>
    <definedName name="Pg2SpecialEd">Instructions!$C$19</definedName>
    <definedName name="SP1000P100F4000CY">'Page 1'!$K$18</definedName>
    <definedName name="FTEnoncertified">#REF!</definedName>
    <definedName name="SP1000P100F2300">'Page 1'!$L$12</definedName>
    <definedName name="SP1000FedStProj">'Page 1'!$L$48</definedName>
    <definedName name="SP1425AdultBasicEd">'Page 2'!$E$27</definedName>
    <definedName name="TotalStateProjectsCY">'Page 2'!$D$36</definedName>
    <definedName name="SP1000P100F2500CY">'Page 1'!$K$14</definedName>
    <definedName name="AOIFTStudCntVI">'Data Entry'!$J$51</definedName>
    <definedName name="SP1400VocEd">'Page 2'!$E$24</definedName>
    <definedName name="SP1000P100F2600CY">'Page 1'!$K$15</definedName>
    <definedName name="SP1000P100F2400">'Page 1'!$L$13</definedName>
    <definedName name="SEIP1071P260F2300">'Page 4'!$N$13</definedName>
    <definedName name="CTDSNumber">Instructions!$C$3</definedName>
    <definedName name="NonAOIStudCntG">'Data Entry'!$I$52</definedName>
    <definedName name="AOIFTStudCnt912CY">'Data Entry'!$L$18</definedName>
    <definedName name="P200RemedialEducation">'Page 2'!$N$9</definedName>
    <definedName name="TotalFederalAndStateProjects">Instructions!$C$14</definedName>
    <definedName name="SP1000P200F1000CY">'Page 1'!$K$25</definedName>
    <definedName name="TotalSEIP6100">'Page 4'!$H$22</definedName>
    <definedName name="AOIPTStudCntOIR">'Data Entry'!$K$45</definedName>
    <definedName name="_CSP3300">'Page 3'!$K$12</definedName>
    <definedName name="SEIP1071P260F1000PPL">'Page 4'!$G$9</definedName>
    <definedName name="AverageTeacherSalaries">Instructions!$C$6</definedName>
    <definedName name="CIP1072P265F2300">'Page 4'!$N$34</definedName>
    <definedName name="SEIP1071P260F2300PPL">'Page 4'!$G$13</definedName>
    <definedName name="SP1000P100F2400CY">'Page 1'!$K$13</definedName>
    <definedName name="AOIPTStudCntMDSSI">'Data Entry'!$K$44</definedName>
    <definedName name="AOIPTStudCntG">'Data Entry'!$K$52</definedName>
    <definedName name="AOIPTStudCntK3">'Data Entry'!$K$39</definedName>
    <definedName name="SP1000P550CY">'Page 1'!$K$42</definedName>
    <definedName name="CIP1072P265F2900">'Page 4'!$N$38</definedName>
    <definedName name="AOIPTStudCntMDR.AR.SIDR">'Data Entry'!$K$42</definedName>
    <definedName name="SP1000ClassSiteProj">'Page 1'!$L$44</definedName>
    <definedName name="FP11001130TitleI">'Page 2'!$E$5</definedName>
    <definedName name="BudgetSummary">Instructions!$C$32</definedName>
    <definedName name="AverageSalaryCalculationComment">Cover!$L$36</definedName>
    <definedName name="ProjectBalancesLine4a">Instructions!$C$38</definedName>
    <definedName name="ProjectBalancesLine4c">Instructions!$C$40</definedName>
    <definedName name="SP1410EarlyChildhoodBlockGrant">'Page 2'!$E$25</definedName>
    <definedName name="SP1000P200F5000CY">'Page 1'!$K$36</definedName>
    <definedName name="AOIFTStudCntMDR.AR.SIDR">'Data Entry'!$J$42</definedName>
    <definedName name="SP1450GiftedEd">'Page 2'!$E$30</definedName>
    <definedName name="TotalStateProjects">'Page 2'!$E$36</definedName>
    <definedName name="SP1000FedStProjCY">'Page 1'!$K$48</definedName>
    <definedName name="ProjectBalancesLine3a">Instructions!$C$36</definedName>
    <definedName name="SEIP1071P260F2500PPL">'Page 4'!$G$15</definedName>
    <definedName name="CapitalAcquisitions">Instructions!$C$18</definedName>
    <definedName name="CA0196Equipment">'Page 2'!$E$44</definedName>
    <definedName name="ArizonaIndustryCredentialsIncentives">Instructions!$C$16</definedName>
    <definedName name="SP1000P200F2300">'Page 1'!$L$29</definedName>
    <definedName name="SEIP1071P260F2100PPL">'Page 4'!$G$11</definedName>
    <definedName name="IEPtransportation">'Page 2'!$N$14</definedName>
    <definedName name="TotalSEIP6200">'Page 4'!$I$22</definedName>
    <definedName name="FP13101399Other">'Page 2'!$E$21</definedName>
    <definedName name="SEIP1071P430F2700">'Page 4'!$N$21</definedName>
    <definedName name="AOIFTStudCntOISC">'Data Entry'!$J$46</definedName>
    <definedName name="NonAOIStudCntK8CY">'Data Entry'!$I$17</definedName>
    <definedName name="K8SuppLvlWgt100.000to499.999">Calculations!$L$17</definedName>
    <definedName name="Pg2DebtService">Instructions!$C$26</definedName>
    <definedName name="AOIPTStudCntFRPL">'Data Entry'!$K$53</definedName>
    <definedName name="SP1000P200F4000">'Page 1'!$L$35</definedName>
    <definedName name="G912SuppLvlWgt100.000to499.999">Calculations!$N$17</definedName>
    <definedName name="SEIP1071P260F2500">'Page 4'!$N$15</definedName>
    <definedName name="SP1000P100F4000">'Page 1'!$L$18</definedName>
    <definedName name="SP1000P200F2300CY">'Page 1'!$K$29</definedName>
    <definedName name="Pg2StateEqualAssist">Instructions!$C$23</definedName>
    <definedName name="NonAOIStudCntK3Read">'Data Entry'!$I$38</definedName>
    <definedName name="TotalInstructionalImprovement">'Page 2'!$N$25</definedName>
    <definedName name="FP1220IDEA">'Page 2'!$E$12</definedName>
    <definedName name="SP1000P200F2600">'Page 1'!$L$32</definedName>
    <definedName name="SP1000P100F1000">'Page 1'!$L$8</definedName>
    <definedName name="FP1230Johnson">'Page 2'!$E$13</definedName>
    <definedName name="Check_box_if_the_district_has_been_approved_to_provide_200_days_of_instruction_by_ADE.__A.R.S._Sec._15_902.04">'Data Entry'!$C$64</definedName>
    <definedName name="FederalandStateProjectsTotal">'Page 2'!$E$37</definedName>
    <definedName name="FTEcontract">#REF!</definedName>
    <definedName name="P200CareerEducationCY">'Page 2'!$M$11</definedName>
    <definedName name="Page3ClassroomSiteProjectsFunc2300">Instructions!$C$28</definedName>
    <definedName name="SP1000P200F2100CY">'Page 1'!$K$27</definedName>
    <definedName name="AOIFTStudCntELL">'Data Entry'!$J$40</definedName>
    <definedName name="DecreaseforFedandStateMonies">'Data Entry'!$C$65</definedName>
    <definedName name="SP1000P200F3000CY">'Page 1'!$K$34</definedName>
    <definedName name="P200GiftedEducationCY">'Page 2'!$M$6</definedName>
    <definedName name="SP1000P200F2400CY">'Page 1'!$K$30</definedName>
    <definedName name="CA0194Buildings">'Page 2'!$E$43</definedName>
    <definedName name="SP1000P200F2500CY">'Page 1'!$K$31</definedName>
    <definedName name="CollegeCreditExamIncentives">Instructions!$C$15</definedName>
    <definedName name="CoverGen">Instructions!$C$2</definedName>
    <definedName name="SP1000P100F3000">'Page 1'!$L$17</definedName>
    <definedName name="TotalCapitalAcquisitionsCY">'Page 2'!$D$46</definedName>
    <definedName name="NonAOIStudCntHI">'Data Entry'!$I$41</definedName>
    <definedName name="Pg1General">Instructions!$C$9</definedName>
    <definedName name="SP1000P100F2900">'Page 1'!$L$16</definedName>
    <definedName name="RemoteTimeAdjustment">'Data Entry'!$N$77</definedName>
    <definedName name="SP1000P540CY">'Page 1'!$K$41</definedName>
    <definedName name="SEIP1071P260F2400">'Page 4'!$N$14</definedName>
    <definedName name="P200VocationalandTechnologicalEdCY">'Page 2'!$M$10</definedName>
    <definedName name="SP1000P200F2500">'Page 1'!$L$31</definedName>
    <definedName name="CIP1072P265F2100PPL">'Page 4'!$G$32</definedName>
    <definedName name="FP1420ExtendedSchool">'Page 2'!$E$26</definedName>
    <definedName name="NonAOIStudCntMDSC.ASC.SIDSC">'Data Entry'!$I$43</definedName>
    <definedName name="FP1290Medicaid">'Page 2'!$E$18</definedName>
    <definedName name="EmployeeBenefits">Instructions!$C$2</definedName>
    <definedName name="AOIPTStudCntK3Read">'Data Entry'!$K$38</definedName>
    <definedName name="Pg1Line37">Instructions!$C$12</definedName>
    <definedName name="TotalSEIP6600">'Page 4'!$K$22</definedName>
    <definedName name="K8SuppLvlWgt500.000to599.999">Calculations!$L$25</definedName>
    <definedName name="CIP1072P435F2700PPL">'Page 4'!$G$42</definedName>
    <definedName name="SEIP1071P260F2400PPL">'Page 4'!$G$14</definedName>
    <definedName name="Pg2InstructionalImprovementProj">Instructions!$C$24</definedName>
    <definedName name="pg2FTE">#REF!</definedName>
    <definedName name="P200GiftedEducation">'Page 2'!$N$6</definedName>
    <definedName name="NonAOIStudCntMOID">'Data Entry'!$I$50</definedName>
    <definedName name="SEIP1071P260F2600">'Page 4'!$N$16</definedName>
    <definedName name="CIP1072P435F2700">'Page 4'!$N$42</definedName>
    <definedName name="AOIPTStudCntMOID">'Data Entry'!$K$50</definedName>
    <definedName name="TotalCIP6800">'Page 4'!$L$43</definedName>
    <definedName name="Page3ClassroomSiteProjectsSubTable">Instructions!$C$29</definedName>
    <definedName name="FP1280TitleX">'Page 2'!$E$17</definedName>
    <definedName name="ProjectBalancesLine4b">Instructions!$C$39</definedName>
    <definedName name="SP1000P400CY">'Page 1'!$K$39</definedName>
    <definedName name="FP11701180TitleV">'Page 2'!$E$8</definedName>
    <definedName name="NonFedAuditExp">'Data Entry'!$N$71</definedName>
    <definedName name="SP1000P530">'Page 1'!$L$40</definedName>
    <definedName name="Incr200Days">'Data Entry'!$D$64</definedName>
    <definedName name="SP1460EnvironmentalSpecialPlate">'Page 2'!$E$32</definedName>
    <definedName name="AOIFTStudCntMDSC.ASC.SIDSC">'Data Entry'!$J$43</definedName>
    <definedName name="AOIPTStudCntP.SD">'Data Entry'!$K$47</definedName>
    <definedName name="K8SuppLvlWgt600.000Plus">Calculations!$L$27</definedName>
    <definedName name="SP1000P200F5000">'Page 1'!$L$36</definedName>
    <definedName name="CIP1072P265F2200">'Page 4'!$N$33</definedName>
    <definedName name="AOIPTStudCntOISC">'Data Entry'!$K$46</definedName>
    <definedName name="CAK3Reading">'Page 2'!$E$48</definedName>
    <definedName name="PriorYearSalary">Cover!$R$33</definedName>
    <definedName name="CIP1072P265F2500">'Page 4'!$N$36</definedName>
    <definedName name="TotalFederalProjectsCY">'Page 2'!$D$22</definedName>
    <definedName name="ProjectBalancesLine5">Instructions!$C$42</definedName>
    <definedName name="SP1000P620">'Page 1'!$L$21</definedName>
    <definedName name="NonAOIStudCntFRPL">'Data Entry'!$I$53</definedName>
    <definedName name="TotalCSP6100">'Page 3'!$F$13</definedName>
    <definedName name="SP1435AcademicContests">'Page 2'!$E$29</definedName>
    <definedName name="SP1000P100F1000CY">'Page 1'!$K$8</definedName>
    <definedName name="FP1190TitleIII">'Page 2'!$E$9</definedName>
  </definedNames>
  <calcPr/>
</workbook>
</file>

<file path=xl/sharedStrings.xml><?xml version="1.0" encoding="utf-8"?>
<sst xmlns="http://schemas.openxmlformats.org/spreadsheetml/2006/main" count="1062" uniqueCount="620">
  <si>
    <t>Charter school</t>
  </si>
  <si>
    <t>Western School of Science and Technology</t>
  </si>
  <si>
    <t>County</t>
  </si>
  <si>
    <t>Maricopa</t>
  </si>
  <si>
    <t>CTDS number</t>
  </si>
  <si>
    <t>078221000</t>
  </si>
  <si>
    <t>Charter name</t>
  </si>
  <si>
    <t>d.b.a. (as applicable)</t>
  </si>
  <si>
    <t>FY 2025</t>
  </si>
  <si>
    <t>1.</t>
  </si>
  <si>
    <r>
      <rPr>
        <rFont val="Arial"/>
        <color theme="1"/>
        <sz val="10.0"/>
      </rPr>
      <t>Total budgeted revenues for fiscal year 202</t>
    </r>
    <r>
      <rPr>
        <rFont val="Arial"/>
        <color theme="1"/>
        <sz val="10.0"/>
      </rPr>
      <t>4</t>
    </r>
  </si>
  <si>
    <t>$</t>
  </si>
  <si>
    <t>State of Arizona</t>
  </si>
  <si>
    <t>2.</t>
  </si>
  <si>
    <t>Estimated revenues by source for fiscal year 2025</t>
  </si>
  <si>
    <t>Local</t>
  </si>
  <si>
    <t>1000</t>
  </si>
  <si>
    <t xml:space="preserve">Charter School Annual Budget </t>
  </si>
  <si>
    <t>Intermediate</t>
  </si>
  <si>
    <t>2000</t>
  </si>
  <si>
    <t>State</t>
  </si>
  <si>
    <t>3000</t>
  </si>
  <si>
    <t>Proposed</t>
  </si>
  <si>
    <t>Federal</t>
  </si>
  <si>
    <t>4000</t>
  </si>
  <si>
    <t>Version</t>
  </si>
  <si>
    <t xml:space="preserve">    TOTAL</t>
  </si>
  <si>
    <t>Charter school contact employee:</t>
  </si>
  <si>
    <t>Tisha Crisler</t>
  </si>
  <si>
    <t>By the Governing Board</t>
  </si>
  <si>
    <t>Telephone:</t>
  </si>
  <si>
    <t>Email:</t>
  </si>
  <si>
    <t>tcrisler@crislerbusinessservices.com</t>
  </si>
  <si>
    <r>
      <rPr>
        <rFont val="Arial"/>
        <color theme="1"/>
        <sz val="10.0"/>
      </rPr>
      <t>The FY 202</t>
    </r>
    <r>
      <rPr>
        <rFont val="Arial"/>
        <color theme="1"/>
        <sz val="10.0"/>
      </rPr>
      <t>5 budget file for the version described at left will be uploaded through the</t>
    </r>
  </si>
  <si>
    <r>
      <rPr>
        <rFont val="Arial"/>
        <color theme="1"/>
        <sz val="10.0"/>
      </rPr>
      <t>We hereby certify that the budget for the school year 202</t>
    </r>
    <r>
      <rPr>
        <rFont val="Arial"/>
        <color theme="1"/>
        <sz val="10.0"/>
      </rPr>
      <t>5 was</t>
    </r>
  </si>
  <si>
    <r>
      <rPr>
        <rFont val="Arial"/>
        <color theme="1"/>
        <sz val="10.0"/>
      </rPr>
      <t>School Finance Budget System on ADE's website by</t>
    </r>
  </si>
  <si>
    <t xml:space="preserve">    </t>
  </si>
  <si>
    <t>Type the date as MM/DD/YYYY</t>
  </si>
  <si>
    <t>Adopted</t>
  </si>
  <si>
    <t>Revised</t>
  </si>
  <si>
    <t>Jessica Makowske</t>
  </si>
  <si>
    <t>Date</t>
  </si>
  <si>
    <t>School official signature</t>
  </si>
  <si>
    <t>School official (typed name)</t>
  </si>
  <si>
    <t>Average teacher salary (A.R.S. §15-189.05)</t>
  </si>
  <si>
    <r>
      <rPr>
        <rFont val="Arial"/>
        <color theme="1"/>
        <sz val="10.0"/>
      </rPr>
      <t>Check box if the school is new and will begin operations in FY 202</t>
    </r>
    <r>
      <rPr>
        <rFont val="Arial"/>
        <color theme="1"/>
        <sz val="10.0"/>
      </rPr>
      <t>5.</t>
    </r>
  </si>
  <si>
    <r>
      <rPr>
        <rFont val="Arial"/>
        <color theme="1"/>
        <sz val="10.0"/>
      </rPr>
      <t>1. Average salary of all teachers employed in budget year 202</t>
    </r>
    <r>
      <rPr>
        <rFont val="Arial"/>
        <color theme="1"/>
        <sz val="10.0"/>
      </rPr>
      <t>5</t>
    </r>
  </si>
  <si>
    <r>
      <rPr>
        <rFont val="Arial"/>
        <color theme="1"/>
        <sz val="10.0"/>
      </rPr>
      <t>2. Average salary of all teachers employed in prior year 202</t>
    </r>
    <r>
      <rPr>
        <rFont val="Arial"/>
        <color theme="1"/>
        <sz val="10.0"/>
      </rPr>
      <t>4</t>
    </r>
  </si>
  <si>
    <r>
      <rPr>
        <rFont val="Arial"/>
        <color theme="1"/>
        <sz val="10.0"/>
      </rPr>
      <t>3. Increase in average teacher salary from the prior year 202</t>
    </r>
    <r>
      <rPr>
        <rFont val="Arial"/>
        <color theme="1"/>
        <sz val="10.0"/>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</si>
  <si>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</si>
  <si>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</si>
  <si>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</si>
  <si>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</si>
  <si>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</si>
  <si>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</si>
  <si>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</si>
  <si>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</si>
  <si>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</si>
  <si>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</si>
  <si>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</si>
  <si>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</si>
  <si>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</si>
  <si>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</si>
  <si>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</si>
  <si>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Ms.</t>
  </si>
  <si>
    <t>Jessica</t>
  </si>
  <si>
    <t>Makowske</t>
  </si>
  <si>
    <t>jmakowske@wsst.school</t>
  </si>
  <si>
    <t>Miss</t>
  </si>
  <si>
    <t>Executive Assistant to Charter Representative</t>
  </si>
  <si>
    <t>Lilia</t>
  </si>
  <si>
    <t>Trevizo</t>
  </si>
  <si>
    <t>ltrevizo@wsst.school</t>
  </si>
  <si>
    <t>Mrs.</t>
  </si>
  <si>
    <t>Business Manager</t>
  </si>
  <si>
    <t>Tisha</t>
  </si>
  <si>
    <t>Crisler</t>
  </si>
  <si>
    <t>Business Consultant</t>
  </si>
  <si>
    <t>Yes</t>
  </si>
  <si>
    <t>AzEDS/ADM Data Coordinator</t>
  </si>
  <si>
    <t>Elizabeth</t>
  </si>
  <si>
    <t>Senger</t>
  </si>
  <si>
    <t>esenger@wsst.school</t>
  </si>
  <si>
    <t>No</t>
  </si>
  <si>
    <t>SPED Data Coordinator</t>
  </si>
  <si>
    <t>Daniel</t>
  </si>
  <si>
    <t>Charns</t>
  </si>
  <si>
    <t>dcharns@wsst.school</t>
  </si>
  <si>
    <t>Poverty Coordinator</t>
  </si>
  <si>
    <t>Claudia</t>
  </si>
  <si>
    <t>Castillo</t>
  </si>
  <si>
    <t>ccastillo@wsst.school</t>
  </si>
  <si>
    <t>Assessments Coordinator</t>
  </si>
  <si>
    <t>Julie</t>
  </si>
  <si>
    <t>Greene</t>
  </si>
  <si>
    <t>jgreen@wsst.school</t>
  </si>
  <si>
    <t>Curriculum Coordinator</t>
  </si>
  <si>
    <t>Valeria</t>
  </si>
  <si>
    <t>Escobedo</t>
  </si>
  <si>
    <t>vescobedo@wsst.school</t>
  </si>
  <si>
    <t>Information Technology (IT) Director</t>
  </si>
  <si>
    <t>Harry</t>
  </si>
  <si>
    <t>Parrish</t>
  </si>
  <si>
    <t>hparrish@wsst.school</t>
  </si>
  <si>
    <t>Governing Board Member</t>
  </si>
  <si>
    <t>Jonathan "Jay"</t>
  </si>
  <si>
    <t>Kaprosy</t>
  </si>
  <si>
    <t>jkaprosy@veridus.com</t>
  </si>
  <si>
    <t>Annette</t>
  </si>
  <si>
    <t>Tanori</t>
  </si>
  <si>
    <t>atanori@msn.com</t>
  </si>
  <si>
    <t>James "Matthew"</t>
  </si>
  <si>
    <t>Sandoval</t>
  </si>
  <si>
    <t>msandoval@cfproperties.org</t>
  </si>
  <si>
    <t>Barry</t>
  </si>
  <si>
    <t>Stratford</t>
  </si>
  <si>
    <t>bstratford@perkinsole.com</t>
  </si>
  <si>
    <t>Eloy</t>
  </si>
  <si>
    <t>Yndigoyen</t>
  </si>
  <si>
    <t>eloy.yndigoyen@gmail.com</t>
  </si>
  <si>
    <t>Anaiis</t>
  </si>
  <si>
    <t>Ballesteros</t>
  </si>
  <si>
    <t>anaiis@allineducation.org</t>
  </si>
  <si>
    <t>AZ Dept of Juvenile Corrections (AZDJC)</t>
  </si>
  <si>
    <t>Select from drop-down</t>
  </si>
  <si>
    <t>BocaVox (Maestro)</t>
  </si>
  <si>
    <t>Student Information System (SIS) Vendor</t>
  </si>
  <si>
    <t>Edupoint (Synergy)</t>
  </si>
  <si>
    <t>Edupoint (Edupoint)</t>
  </si>
  <si>
    <t>Accounting Information System</t>
  </si>
  <si>
    <t>Quickbooks Premier Accountants' Version 2024</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</si>
  <si>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</si>
  <si>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</si>
  <si>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</si>
  <si>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</si>
  <si>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</si>
  <si>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</si>
  <si>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</si>
  <si>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www.western.cfacademy.school</t>
  </si>
  <si>
    <t>Pearson (Connexus)</t>
  </si>
  <si>
    <t>PowerSchool (PowerSchool)</t>
  </si>
  <si>
    <t>Charter management information</t>
  </si>
  <si>
    <t>Strongmind (Strongmind)</t>
  </si>
  <si>
    <t>Management organization type</t>
  </si>
  <si>
    <t>Single Management (non-profit)</t>
  </si>
  <si>
    <t>Tyler Technologies (Schoolmaster)</t>
  </si>
  <si>
    <t>Management organization details (if applicable):</t>
  </si>
  <si>
    <t>Tyler Technologies (Tyler V10)</t>
  </si>
  <si>
    <t>Organization name</t>
  </si>
  <si>
    <t>N/A</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</si>
  <si>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</si>
  <si>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</si>
  <si>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</si>
  <si>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</si>
  <si>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</si>
  <si>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</si>
  <si>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</si>
  <si>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</si>
  <si>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</si>
  <si>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</si>
  <si>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</si>
  <si>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</si>
  <si>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</si>
  <si>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</si>
  <si>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</si>
  <si>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</si>
  <si>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</si>
  <si>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</si>
  <si>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</si>
  <si>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</si>
  <si>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</si>
  <si>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</si>
  <si>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</si>
  <si>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</si>
  <si>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</si>
  <si>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</si>
  <si>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</si>
  <si>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</si>
  <si>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</si>
  <si>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</si>
  <si>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</si>
  <si>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</si>
  <si>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</si>
  <si>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</si>
  <si>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</si>
  <si>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</si>
  <si>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</si>
  <si>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</si>
  <si>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</si>
  <si>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</si>
  <si>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</si>
  <si>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</si>
  <si>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</si>
  <si>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</si>
  <si>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</si>
  <si>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</si>
  <si>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</si>
  <si>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 and object code 6850</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</si>
  <si>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</si>
  <si>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</si>
  <si>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</si>
  <si>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</si>
  <si>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</si>
  <si>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</si>
  <si>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</si>
  <si>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</si>
  <si>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rPr>
        <rFont val="Arial"/>
        <color theme="1"/>
        <sz val="10.0"/>
      </rPr>
      <t>Prior year 202</t>
    </r>
    <r>
      <rPr>
        <rFont val="Arial"/>
        <color theme="1"/>
        <sz val="10.0"/>
      </rPr>
      <t>4</t>
    </r>
  </si>
  <si>
    <r>
      <rPr>
        <rFont val="Arial"/>
        <color theme="1"/>
        <sz val="10.0"/>
      </rPr>
      <t>Budget year 202</t>
    </r>
    <r>
      <rPr>
        <rFont val="Arial"/>
        <color theme="1"/>
        <sz val="10.0"/>
      </rPr>
      <t>5</t>
    </r>
  </si>
  <si>
    <r>
      <rPr>
        <rFont val="Arial"/>
        <color theme="1"/>
        <sz val="10.0"/>
      </rPr>
      <t>Program 200 prior year 202</t>
    </r>
    <r>
      <rPr>
        <rFont val="Arial"/>
        <color theme="1"/>
        <sz val="10.0"/>
      </rPr>
      <t>4</t>
    </r>
  </si>
  <si>
    <r>
      <rPr>
        <rFont val="Arial"/>
        <color theme="1"/>
        <sz val="10.0"/>
      </rPr>
      <t>Program 200 budget year 202</t>
    </r>
    <r>
      <rPr>
        <rFont val="Arial"/>
        <color theme="1"/>
        <sz val="10.0"/>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</si>
  <si>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</si>
  <si>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</si>
  <si>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</si>
  <si>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</si>
  <si>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</si>
  <si>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</si>
  <si>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</si>
  <si>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</si>
  <si>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</si>
  <si>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</si>
  <si>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</si>
  <si>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</si>
  <si>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</si>
  <si>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</si>
  <si>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</si>
  <si>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</si>
  <si>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</si>
  <si>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</si>
  <si>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</si>
  <si>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</si>
  <si>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</si>
  <si>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</si>
  <si>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</si>
  <si>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</si>
  <si>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</si>
  <si>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</si>
  <si>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rPr>
        <rFont val="Arial"/>
        <color theme="1"/>
        <sz val="10.0"/>
      </rPr>
      <t>Prior year  202</t>
    </r>
    <r>
      <rPr>
        <rFont val="Arial"/>
        <color theme="1"/>
        <sz val="10.0"/>
      </rPr>
      <t>4</t>
    </r>
  </si>
  <si>
    <r>
      <rPr>
        <rFont val="Arial"/>
        <color theme="1"/>
        <sz val="10.0"/>
      </rPr>
      <t>Budget year 202</t>
    </r>
    <r>
      <rPr>
        <rFont val="Arial"/>
        <color theme="1"/>
        <sz val="10.0"/>
      </rPr>
      <t>5</t>
    </r>
  </si>
  <si>
    <t>13__  Impact Aid</t>
  </si>
  <si>
    <t>1310-1399  Other Federal Projects</t>
  </si>
  <si>
    <t>Teacher compensation increases</t>
  </si>
  <si>
    <r>
      <rPr>
        <rFont val="Arial"/>
        <color theme="1"/>
        <sz val="10.0"/>
      </rPr>
      <t>Total federal projects (</t>
    </r>
    <r>
      <rPr>
        <rFont val="Arial"/>
        <color theme="1"/>
        <sz val="10.0"/>
      </rPr>
      <t>lines 1-17)</t>
    </r>
  </si>
  <si>
    <t>Class size reduction</t>
  </si>
  <si>
    <t>1400-1499 State projects</t>
  </si>
  <si>
    <t>3.</t>
  </si>
  <si>
    <t>Dropout prevention programs</t>
  </si>
  <si>
    <t>1400  Vocational Education</t>
  </si>
  <si>
    <t>4.</t>
  </si>
  <si>
    <t>Instructional improvement programs</t>
  </si>
  <si>
    <t>1410  Early Childhood Block Grant</t>
  </si>
  <si>
    <t>5.</t>
  </si>
  <si>
    <r>
      <rPr>
        <rFont val="Arial"/>
        <color theme="1"/>
        <sz val="10.0"/>
      </rPr>
      <t>Total I</t>
    </r>
    <r>
      <rPr>
        <rFont val="Arial"/>
        <color theme="1"/>
        <sz val="10.0"/>
      </rPr>
      <t xml:space="preserve">nstructional </t>
    </r>
    <r>
      <rPr>
        <rFont val="Arial"/>
        <color theme="1"/>
        <sz val="10.0"/>
      </rPr>
      <t>Imp</t>
    </r>
    <r>
      <rPr>
        <rFont val="Arial"/>
        <color theme="1"/>
        <sz val="10.0"/>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</si>
  <si>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</si>
  <si>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</si>
  <si>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</si>
  <si>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</si>
  <si>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</si>
  <si>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</si>
  <si>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</si>
  <si>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</si>
  <si>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</si>
  <si>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</si>
  <si>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</si>
  <si>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</si>
  <si>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</si>
  <si>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</si>
  <si>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</si>
  <si>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</si>
  <si>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</si>
  <si>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</si>
  <si>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</si>
  <si>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</si>
  <si>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</si>
  <si>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</si>
  <si>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</si>
  <si>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rPr>
        <rFont val="Arial"/>
        <color theme="1"/>
        <sz val="10.0"/>
      </rPr>
      <t>Total State projects (</t>
    </r>
    <r>
      <rPr>
        <rFont val="Arial"/>
        <color theme="1"/>
        <sz val="10.0"/>
      </rPr>
      <t>lines 19-30)</t>
    </r>
  </si>
  <si>
    <r>
      <rPr>
        <rFont val="Arial"/>
        <color theme="1"/>
        <sz val="10.0"/>
      </rPr>
      <t>Total federal and State projects (</t>
    </r>
    <r>
      <rPr>
        <rFont val="Arial"/>
        <color theme="1"/>
        <sz val="10.0"/>
      </rPr>
      <t>lines 18 and 31)</t>
    </r>
  </si>
  <si>
    <t>Debt service</t>
  </si>
  <si>
    <t>Interest 6850</t>
  </si>
  <si>
    <t>Capital acquisitions</t>
  </si>
  <si>
    <r>
      <rPr>
        <rFont val="Arial"/>
        <color theme="1"/>
        <sz val="10.0"/>
      </rPr>
      <t>Prior year
202</t>
    </r>
    <r>
      <rPr>
        <rFont val="Arial"/>
        <color theme="1"/>
        <sz val="10.0"/>
      </rPr>
      <t>4</t>
    </r>
  </si>
  <si>
    <r>
      <rPr>
        <rFont val="Arial"/>
        <color theme="1"/>
        <sz val="10.0"/>
      </rPr>
      <t>Budget year
202</t>
    </r>
    <r>
      <rPr>
        <rFont val="Arial"/>
        <color theme="1"/>
        <sz val="10.0"/>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</si>
  <si>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</si>
  <si>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</si>
  <si>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</si>
  <si>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</si>
  <si>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</si>
  <si>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</si>
  <si>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</si>
  <si>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</si>
  <si>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</si>
  <si>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</si>
  <si>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</si>
  <si>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</si>
  <si>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</si>
  <si>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</si>
  <si>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</si>
  <si>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</si>
  <si>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 - 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</si>
  <si>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</si>
  <si>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</si>
  <si>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</si>
  <si>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</si>
  <si>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</si>
  <si>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</si>
  <si>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</si>
  <si>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</si>
  <si>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</si>
  <si>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</si>
  <si>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</si>
  <si>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</si>
  <si>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</si>
  <si>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</si>
  <si>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</si>
  <si>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</si>
  <si>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</si>
  <si>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</si>
  <si>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</si>
  <si>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</si>
  <si>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</si>
  <si>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</si>
  <si>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</si>
  <si>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</si>
  <si>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</si>
  <si>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</si>
  <si>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</si>
  <si>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</si>
  <si>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</si>
  <si>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</si>
  <si>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</si>
  <si>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</si>
  <si>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</si>
  <si>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</si>
  <si>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</si>
  <si>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</si>
  <si>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</si>
  <si>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</si>
  <si>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</si>
  <si>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</si>
  <si>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</si>
  <si>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</si>
  <si>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</si>
  <si>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</si>
  <si>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</si>
  <si>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</si>
  <si>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</si>
  <si>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</si>
  <si>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</si>
  <si>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rPr>
        <rFont val="Arial"/>
        <color theme="1"/>
        <sz val="10.0"/>
      </rPr>
      <t>Average salary of all teachers employed in the budget year 202</t>
    </r>
    <r>
      <rPr>
        <rFont val="Arial"/>
        <color theme="1"/>
        <sz val="10.0"/>
      </rPr>
      <t>5</t>
    </r>
  </si>
  <si>
    <r>
      <rPr>
        <rFont val="Arial"/>
        <color theme="1"/>
        <sz val="10.0"/>
      </rPr>
      <t>Average salary of all teachers employed in the prior year 202</t>
    </r>
    <r>
      <rPr>
        <rFont val="Arial"/>
        <color theme="1"/>
        <sz val="10.0"/>
      </rPr>
      <t>4</t>
    </r>
  </si>
  <si>
    <t>540 Joint career &amp; tech. ed. &amp; voc. ed. center</t>
  </si>
  <si>
    <r>
      <rPr>
        <rFont val="Arial"/>
        <color theme="1"/>
        <sz val="10.0"/>
      </rPr>
      <t>Increase in average teacher salary from the prior year 202</t>
    </r>
    <r>
      <rPr>
        <rFont val="Arial"/>
        <color theme="1"/>
        <sz val="10.0"/>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</si>
  <si>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</si>
  <si>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</si>
  <si>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</si>
  <si>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All projects</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</si>
  <si>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</si>
  <si>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</si>
  <si>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</si>
  <si>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</si>
  <si>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</si>
  <si>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</si>
  <si>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</si>
  <si>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(a) With donor restrictions/Restricted</t>
  </si>
  <si>
    <t>(b) Without donor restrictions/Unrestricted</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</si>
  <si>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</si>
  <si>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</si>
  <si>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</si>
  <si>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</si>
  <si>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</si>
  <si>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</si>
  <si>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</si>
  <si>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</si>
  <si>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None</t>
  </si>
  <si>
    <t>Base support level weights (Group A weights)  [A.R.S. §§15-943 and 15-185]</t>
  </si>
  <si>
    <r>
      <rPr>
        <rFont val="Arial"/>
        <color theme="1"/>
        <sz val="10.0"/>
      </rPr>
      <t xml:space="preserve">Please </t>
    </r>
    <r>
      <rPr>
        <rFont val="Arial"/>
        <b/>
        <color theme="1"/>
        <sz val="10.0"/>
      </rPr>
      <t>uncheck</t>
    </r>
    <r>
      <rPr>
        <rFont val="Arial"/>
        <color theme="1"/>
        <sz val="10.0"/>
      </rPr>
      <t xml:space="preserve"> each box that </t>
    </r>
    <r>
      <rPr>
        <rFont val="Arial"/>
        <b/>
        <color theme="1"/>
        <sz val="10.0"/>
      </rPr>
      <t>does not</t>
    </r>
    <r>
      <rPr>
        <rFont val="Arial"/>
        <color theme="1"/>
        <sz val="10.0"/>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</si>
  <si>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</si>
  <si>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The organizational structure or management agreement of your charter holder requires your charter holder or charter school to contract with a specific management company.</t>
  </si>
  <si>
    <t>X</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</si>
  <si>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</si>
  <si>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</si>
  <si>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</si>
  <si>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</si>
  <si>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rPr>
        <rFont val="Arial"/>
        <color theme="1"/>
        <sz val="10.0"/>
      </rP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rFont val="Arial"/>
        <color theme="1"/>
        <sz val="10.0"/>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</si>
  <si>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</si>
  <si>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</si>
  <si>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</si>
  <si>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</si>
  <si>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</si>
  <si>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</si>
  <si>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</si>
  <si>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</si>
  <si>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</si>
  <si>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</si>
  <si>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</si>
  <si>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</si>
  <si>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rPr>
        <rFont val="Arial"/>
        <b/>
        <color theme="1"/>
        <sz val="12.0"/>
      </rPr>
      <t>Support level weights (Group B weights)</t>
    </r>
    <r>
      <rPr>
        <rFont val="Arial"/>
        <b/>
        <strike/>
        <color theme="1"/>
        <sz val="12.0"/>
      </rPr>
      <t xml:space="preserve"> </t>
    </r>
    <r>
      <rPr>
        <rFont val="Arial"/>
        <b/>
        <color theme="1"/>
        <sz val="12.0"/>
      </rPr>
      <t>[A.R.S. §§15-943, 15-185 &amp; 15-808]</t>
    </r>
  </si>
  <si>
    <t>Student count add-ons</t>
  </si>
  <si>
    <r>
      <rPr>
        <rFont val="Arial"/>
        <color theme="1"/>
        <sz val="10.0"/>
      </rP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rFont val="Cambria"/>
        <strike/>
        <color rgb="FFFF0000"/>
        <sz val="10.0"/>
      </rPr>
      <t xml:space="preserve">   </t>
    </r>
    <r>
      <rPr>
        <rFont val="Arial"/>
        <color theme="1"/>
        <sz val="10.0"/>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</si>
  <si>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</si>
  <si>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</si>
  <si>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</si>
  <si>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</si>
  <si>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</si>
  <si>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</si>
  <si>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</si>
  <si>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</si>
  <si>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</si>
  <si>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</si>
  <si>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</si>
  <si>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</si>
  <si>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</si>
  <si>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</si>
  <si>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</si>
  <si>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</si>
  <si>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</si>
  <si>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t>Free and Reduced-Price Lunch (FRPL)    (5)</t>
  </si>
  <si>
    <r>
      <rPr>
        <rFont val="Arial"/>
        <color theme="1"/>
      </rPr>
      <t xml:space="preserve">Total weighted student count (lines 1 </t>
    </r>
    <r>
      <rPr>
        <rFont val="Arial"/>
        <color theme="1"/>
        <sz val="10.0"/>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</si>
  <si>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</si>
  <si>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</si>
  <si>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</si>
  <si>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</si>
  <si>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</si>
  <si>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</si>
  <si>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</si>
  <si>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</si>
  <si>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</si>
  <si>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</si>
  <si>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</si>
  <si>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rPr>
        <rFont val="Arial"/>
        <color theme="1"/>
        <sz val="10.0"/>
      </rPr>
      <t xml:space="preserve">Check box if the school has been approved to provide </t>
    </r>
    <r>
      <rPr>
        <rFont val="Arial"/>
        <color theme="1"/>
        <sz val="10.0"/>
      </rPr>
      <t xml:space="preserve">at least 200 days of instruction by ADE. </t>
    </r>
  </si>
  <si>
    <r>
      <rPr>
        <rFont val="Arial"/>
        <color theme="1"/>
        <sz val="10.0"/>
      </rPr>
      <t xml:space="preserve">A.R.S. §15-902.04 allows schools that provide </t>
    </r>
    <r>
      <rPr>
        <rFont val="Arial"/>
        <i/>
        <color theme="1"/>
        <sz val="10.0"/>
      </rPr>
      <t>at least</t>
    </r>
    <r>
      <rPr>
        <rFont val="Arial"/>
        <color theme="1"/>
        <sz val="10.0"/>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</si>
  <si>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</si>
  <si>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</si>
  <si>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</si>
  <si>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rPr>
        <rFont val="Arial"/>
        <color theme="1"/>
      </rPr>
      <t>FY 202</t>
    </r>
    <r>
      <rPr>
        <rFont val="Arial"/>
        <color theme="1"/>
        <sz val="10.0"/>
      </rPr>
      <t>3 nonfederal audit service actual expense</t>
    </r>
  </si>
  <si>
    <r>
      <rPr>
        <rFont val="Arial"/>
        <color theme="1"/>
        <sz val="10.0"/>
      </rPr>
      <t>Schools must include audit costs for FY 202</t>
    </r>
    <r>
      <rPr>
        <rFont val="Arial"/>
        <color theme="1"/>
        <sz val="10.0"/>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</si>
  <si>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rPr>
        <rFont val="Arial"/>
        <color theme="1"/>
      </rPr>
      <t>FY 202</t>
    </r>
    <r>
      <rPr>
        <rFont val="Arial"/>
        <color theme="1"/>
        <sz val="10.0"/>
      </rPr>
      <t>3 federal audit service actual expense</t>
    </r>
  </si>
  <si>
    <r>
      <rPr>
        <rFont val="Arial"/>
        <color theme="1"/>
        <sz val="10.0"/>
      </rPr>
      <t>Enter the amount expended for audit services in FY 202</t>
    </r>
    <r>
      <rPr>
        <rFont val="Arial"/>
        <color theme="1"/>
        <sz val="10.0"/>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</si>
  <si>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</si>
  <si>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</si>
  <si>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</si>
  <si>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</si>
  <si>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</si>
  <si>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</si>
  <si>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</si>
  <si>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</si>
  <si>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</si>
  <si>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</si>
  <si>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</si>
  <si>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</si>
  <si>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</si>
  <si>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</si>
  <si>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</si>
  <si>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</si>
  <si>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</si>
  <si>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</si>
  <si>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</si>
  <si>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</si>
  <si>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</si>
  <si>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one or more criteria are checked on the Data Entry Tab)</t>
  </si>
  <si>
    <t>Student Count 0.001-99.999</t>
  </si>
  <si>
    <t>Support level</t>
  </si>
  <si>
    <t>Support level weight from Table 1</t>
  </si>
  <si>
    <t>Support level weight from Table 2 (based on small school weight eligibility)</t>
  </si>
  <si>
    <r>
      <rPr>
        <rFont val="Arial"/>
        <strike val="0"/>
        <color theme="1"/>
        <sz val="10.0"/>
      </rPr>
      <t>Support level weight (lesser of lines 1 and 2, as applicable, as shown on BSA 55-1)</t>
    </r>
    <r>
      <rPr>
        <rFont val="Arial"/>
        <strike/>
        <color theme="1"/>
        <sz val="10.0"/>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</si>
  <si>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</si>
  <si>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</si>
  <si>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</si>
  <si>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</si>
  <si>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</si>
  <si>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</si>
  <si>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</si>
  <si>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</si>
  <si>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PercentStatewideWeightedStudentCount</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</si>
  <si>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</si>
  <si>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</si>
  <si>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</si>
  <si>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</si>
  <si>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</si>
  <si>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</si>
  <si>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</si>
  <si>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</si>
  <si>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</si>
  <si>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</si>
  <si>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</si>
  <si>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</si>
  <si>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</si>
  <si>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</si>
  <si>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</si>
  <si>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</si>
  <si>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</si>
  <si>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</si>
  <si>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</si>
  <si>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</si>
  <si>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</si>
  <si>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</si>
  <si>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</si>
  <si>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</si>
  <si>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</si>
  <si>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</si>
  <si>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</si>
  <si>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</si>
  <si>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</si>
  <si>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</si>
  <si>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</si>
  <si>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</si>
  <si>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</si>
  <si>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</si>
  <si>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</si>
  <si>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</si>
  <si>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</si>
  <si>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rFont val="Arial"/>
        <b/>
        <color theme="1"/>
        <sz val="10.0"/>
        <u/>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</si>
  <si>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</si>
  <si>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</si>
  <si>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</si>
  <si>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</si>
  <si>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</si>
  <si>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</si>
  <si>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</si>
  <si>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</si>
  <si>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</si>
  <si>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rFont val="Arial"/>
        <b/>
        <color theme="1"/>
        <sz val="10.0"/>
      </rPr>
      <t xml:space="preserve">Base Support Level Adjustments
</t>
    </r>
    <r>
      <rPr>
        <rFont val="Arial"/>
        <color theme="1"/>
        <sz val="10.0"/>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</si>
  <si>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</si>
  <si>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</si>
  <si>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</si>
  <si>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</si>
  <si>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</si>
  <si>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</si>
  <si>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</si>
  <si>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</si>
  <si>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</si>
  <si>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</si>
  <si>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</si>
  <si>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</si>
  <si>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</si>
  <si>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</si>
  <si>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</si>
  <si>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</si>
  <si>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</si>
  <si>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</si>
  <si>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</si>
  <si>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</si>
  <si>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</si>
  <si>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</si>
  <si>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</si>
  <si>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</si>
  <si>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</si>
  <si>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</si>
  <si>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</si>
  <si>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</si>
  <si>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</si>
  <si>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</si>
  <si>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rPr>
        <rFont val="Arial"/>
        <color theme="1"/>
        <sz val="10.0"/>
      </rPr>
      <t xml:space="preserve">Select the type of organization from the drop down menu and report the management organization details (if applicable): 
</t>
    </r>
    <r>
      <rPr>
        <rFont val="Arial"/>
        <b/>
        <color theme="1"/>
        <sz val="10.0"/>
      </rPr>
      <t>Charter Management Organization (CMO)</t>
    </r>
    <r>
      <rPr>
        <rFont val="Arial"/>
        <color theme="1"/>
        <sz val="10.0"/>
      </rPr>
      <t xml:space="preserve"> - A non-profit organization that operates or manages a network of charter schools (either through a contract or as the charter holder) linked by centralized support, operations, and oversight.
</t>
    </r>
    <r>
      <rPr>
        <rFont val="Arial"/>
        <b/>
        <color theme="1"/>
        <sz val="10.0"/>
      </rPr>
      <t>Education Management Organization (EMO)</t>
    </r>
    <r>
      <rPr>
        <rFont val="Arial"/>
        <color theme="1"/>
        <sz val="10.0"/>
      </rPr>
      <t xml:space="preserve"> - A for-profit entity that operates or manages a network of charter schools (either through a contract or as the charter holder) linked by centralized support, operations, and oversight.
</t>
    </r>
    <r>
      <rPr>
        <rFont val="Arial"/>
        <b/>
        <color theme="1"/>
        <sz val="10.0"/>
      </rPr>
      <t>Single Management (non-profit)</t>
    </r>
    <r>
      <rPr>
        <rFont val="Arial"/>
        <color theme="1"/>
        <sz val="10.0"/>
      </rPr>
      <t xml:space="preserve"> - A non-profit organization that is not a CMO or EMO and that provides management services to one charter school. 
</t>
    </r>
    <r>
      <rPr>
        <rFont val="Arial"/>
        <b/>
        <color theme="1"/>
        <sz val="10.0"/>
      </rPr>
      <t>Single Management (for-profit)</t>
    </r>
    <r>
      <rPr>
        <rFont val="Arial"/>
        <color theme="1"/>
        <sz val="10.0"/>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</si>
  <si>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</si>
  <si>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'Page 1'!A1</t>
  </si>
  <si>
    <r>
      <rPr>
        <rFont val="Arial"/>
        <color theme="1"/>
        <sz val="10.0"/>
      </rP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rFont val="Arial"/>
        <color theme="1"/>
        <sz val="10.0"/>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</si>
  <si>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</si>
  <si>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</si>
  <si>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</si>
  <si>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</si>
  <si>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</si>
  <si>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</si>
  <si>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rPr>
        <rFont val="Arial"/>
        <color theme="1"/>
        <sz val="10.0"/>
      </rPr>
      <t>Schools participating in the Arizona State Retirement System should budget at the rate of 12.2</t>
    </r>
    <r>
      <rPr>
        <rFont val="Arial"/>
        <color theme="1"/>
        <sz val="10.0"/>
      </rPr>
      <t>7 percent for covered positions. For positions subject to the Alternate Contribution Rate, schools should budget at the rate of 10.19 percent.</t>
    </r>
  </si>
  <si>
    <t>Updated contribution rates.</t>
  </si>
  <si>
    <t>'Page 2'!A1</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</si>
  <si>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</si>
  <si>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</si>
  <si>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rPr>
        <rFont val="Arial"/>
        <color theme="1"/>
        <sz val="10.0"/>
      </rPr>
      <t>Schools that receive monies from the college credit by examination incentive program per A.R.S. §15-249.06 should deposit them in Project 1456</t>
    </r>
    <r>
      <rPr>
        <rFont val="Calibri"/>
        <color theme="1"/>
        <sz val="10.0"/>
      </rPr>
      <t>—</t>
    </r>
    <r>
      <rPr>
        <rFont val="Arial"/>
        <color theme="1"/>
        <sz val="10.0"/>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</si>
  <si>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</si>
  <si>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</si>
  <si>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</si>
  <si>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r>
      <rPr>
        <rFont val="Arial"/>
        <color theme="1"/>
        <sz val="10.0"/>
      </rPr>
      <t xml:space="preserve">Enter the increase in the capital asset accounts (intangible assets, land and land improvements, site improvements, buildings and building improvements, equipment, and construction in progress) for assets to be acquired by purchase, </t>
    </r>
    <r>
      <rPr>
        <rFont val="Arial"/>
        <color theme="1"/>
        <sz val="10.0"/>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</si>
  <si>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</si>
  <si>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</si>
  <si>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</si>
  <si>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</si>
  <si>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</si>
  <si>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</si>
  <si>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</si>
  <si>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</si>
  <si>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</si>
  <si>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</si>
  <si>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</si>
  <si>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</si>
  <si>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rPr>
        <rFont val="Arial"/>
        <color theme="1"/>
        <sz val="10.0"/>
      </rPr>
      <t>Debt service amounts should include budgeted interest and redemption of principal for all programs. Interest should be budgeted expenses for object code 6850. Redemption of principal should include budgeted principal payments on</t>
    </r>
    <r>
      <rPr>
        <rFont val="Arial"/>
        <color theme="1"/>
        <sz val="10.0"/>
      </rPr>
      <t xml:space="preserve"> finance leases and other long-term debt that will be recorded as a reduction of the related liability.</t>
    </r>
  </si>
  <si>
    <t>'Page 3'!A1</t>
  </si>
  <si>
    <r>
      <rPr>
        <rFont val="Arial"/>
        <color theme="1"/>
        <sz val="10.0"/>
      </rP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rFont val="Arial"/>
        <strike/>
        <color theme="1"/>
        <sz val="10.0"/>
      </rPr>
      <t xml:space="preserve">
</t>
    </r>
  </si>
  <si>
    <r>
      <rPr>
        <rFont val="Arial"/>
        <strike val="0"/>
        <color theme="1"/>
        <sz val="10.0"/>
      </rPr>
      <t>Updated the estimated CSP per pupil amount and ADE report guidance.</t>
    </r>
    <r>
      <rPr>
        <rFont val="Arial"/>
        <strike/>
        <color theme="1"/>
        <sz val="10.0"/>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</si>
  <si>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</si>
  <si>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</si>
  <si>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r>
      <rPr>
        <rFont val="Arial"/>
        <color theme="1"/>
        <sz val="10.0"/>
      </rP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rFont val="Arial"/>
        <color theme="1"/>
        <sz val="10.0"/>
      </rPr>
      <t xml:space="preserve">on finance leases and other long-term debt that will be recorded as a reduction of the related liability. </t>
    </r>
  </si>
  <si>
    <t>'Page 4'!A1</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</si>
  <si>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</si>
  <si>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</si>
  <si>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</si>
  <si>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</si>
  <si>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</si>
  <si>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</si>
  <si>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Project balances</t>
  </si>
  <si>
    <t>Line 1</t>
  </si>
  <si>
    <r>
      <rPr>
        <rFont val="Arial"/>
        <color theme="1"/>
        <sz val="10.0"/>
      </rPr>
      <t xml:space="preserve">Report FY 2023 final ending project balances as reported in FY 2023 AFR. If the final ending reserve balance doesn't agree with the FY 2023 AFR, </t>
    </r>
    <r>
      <rPr>
        <rFont val="Arial"/>
        <color theme="1"/>
        <sz val="10.0"/>
        <u/>
      </rPr>
      <t>revise the AFR and resubmit to ADE.</t>
    </r>
  </si>
  <si>
    <t>Added Project balances tab.</t>
  </si>
  <si>
    <t>Line 2 (a)</t>
  </si>
  <si>
    <t xml:space="preserve">Report FY 2024 revenues. Enter actual amounts to date plus estimated amounts for the remainder of FY 2024, including all FY 2024 amounts that the charter anticipates receiving during the encumbrance period. </t>
  </si>
  <si>
    <t>Line 2 (b)</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</si>
  <si>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</si>
  <si>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Line 3 (a)</t>
  </si>
  <si>
    <r>
      <rPr>
        <rFont val="Arial"/>
        <color theme="1"/>
        <sz val="10.0"/>
      </rPr>
      <t xml:space="preserve">Report FY 2024 estimated restricted ending project balance amounts. These amounts consist of </t>
    </r>
    <r>
      <rPr>
        <rFont val="Arial"/>
        <color theme="1"/>
        <sz val="10.0"/>
      </rPr>
      <t xml:space="preserve">donor-restricted or legally obligated resources. </t>
    </r>
    <r>
      <rPr>
        <rFont val="Arial"/>
        <color theme="1"/>
        <sz val="10.0"/>
      </rPr>
      <t>For-profit charter schools may report estimated appropriated retained earnings.</t>
    </r>
  </si>
  <si>
    <t>Line 3 (b)</t>
  </si>
  <si>
    <r>
      <rPr>
        <rFont val="Arial"/>
        <color theme="1"/>
        <sz val="10.0"/>
      </rPr>
      <t xml:space="preserve">Report FY 2024 estimated unrestricted ending project balance amounts.  </t>
    </r>
    <r>
      <rPr>
        <rFont val="Arial"/>
        <color theme="1"/>
        <sz val="10.0"/>
      </rPr>
      <t xml:space="preserve">These are amounts available for use in general operations and not subject to donor or grantor restrictions or legal obligations. </t>
    </r>
    <r>
      <rPr>
        <rFont val="Arial"/>
        <color theme="1"/>
        <sz val="10.0"/>
      </rPr>
      <t>For-profit charter schools may report estimated unappropriated retained earnings.</t>
    </r>
  </si>
  <si>
    <t>Line 4 (a)</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</si>
  <si>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</si>
  <si>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Line 4 (b)</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</si>
  <si>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</si>
  <si>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Line 4 (c)</t>
  </si>
  <si>
    <r>
      <rPr>
        <rFont val="Arial"/>
        <color theme="1"/>
        <sz val="10.0"/>
      </rPr>
      <t xml:space="preserve">Report FY 2024 estimated ending project balance amounts that the charter plans to spend in FY 2025 to support the operation of other school sites that operate within the same charter management organization (CMO). </t>
    </r>
    <r>
      <rPr>
        <rFont val="Arial"/>
        <color theme="1"/>
        <sz val="10.0"/>
        <u/>
      </rPr>
      <t xml:space="preserve">This line only applies to charter schools that operate under the same CMO. </t>
    </r>
    <r>
      <rPr>
        <rFont val="Arial"/>
        <color theme="1"/>
        <sz val="10.0"/>
      </rPr>
      <t xml:space="preserve"> CMO detail is reported on the contact page in this form.</t>
    </r>
  </si>
  <si>
    <t>Line 4 (d)</t>
  </si>
  <si>
    <t>Report amounts the charter estimates it will maintain for spending after FY 2025, including amounts reserved to manage cash flows in future budget years to cover such things as revenue shortfalls, emergencies, and/or other unforeseen circumstances.</t>
  </si>
  <si>
    <t>Line 5</t>
  </si>
  <si>
    <t>Section C is optional. Charter schools can use this section to include additional information about its project balances and planned spending. Charters can also use this section to list projects included in restricted and unrestricted lines.</t>
  </si>
</sst>
</file>

<file path=xl/styles.xml><?xml version="1.0" encoding="utf-8"?>
<styleSheet xmlns="http://schemas.openxmlformats.org/spreadsheetml/2006/main" xmlns:x14ac="http://schemas.microsoft.com/office/spreadsheetml/2009/9/ac" xmlns:mc="http://schemas.openxmlformats.org/markup-compatibility/2006">
  <numFmts count="17">
    <numFmt numFmtId="164" formatCode="0."/>
    <numFmt numFmtId="165" formatCode="###\-###\-####"/>
    <numFmt numFmtId="166" formatCode="mmmm\ d\,\ yyyy"/>
    <numFmt numFmtId="167" formatCode="0.0%"/>
    <numFmt numFmtId="168" formatCode="0.0"/>
    <numFmt numFmtId="169" formatCode="0.00_);[Red]\(0.00\)"/>
    <numFmt numFmtId="170" formatCode="\(0E+00\);\(\-0E+00\)"/>
    <numFmt numFmtId="171" formatCode="0.0000_);\(0.0000\)"/>
    <numFmt numFmtId="172" formatCode="0.000_);\(0.000\)"/>
    <numFmt numFmtId="173" formatCode="0.000"/>
    <numFmt numFmtId="174" formatCode="#,##0.000_);\(#,##0.000\)"/>
    <numFmt numFmtId="175" formatCode="#,##0.0000_);\(#,##0.0000\)"/>
    <numFmt numFmtId="176" formatCode="0.000000"/>
    <numFmt numFmtId="177" formatCode="0.0000"/>
    <numFmt numFmtId="178" formatCode="#,##0.000"/>
    <numFmt numFmtId="179" formatCode="#,##0.0000"/>
    <numFmt numFmtId="180" formatCode="&quot;$&quot;#,##0.00"/>
  </numFmts>
  <fonts count="60">
    <font>
      <sz val="10.0"/>
      <color rgb="FF000000"/>
      <name val="Arial"/>
      <scheme val="minor"/>
    </font>
    <font>
      <b/>
      <sz val="10.0"/>
      <color theme="1"/>
      <name val="Arial"/>
    </font>
    <font>
      <sz val="10.0"/>
      <color theme="1"/>
      <name val="Arial"/>
    </font>
    <font/>
    <font>
      <b/>
      <u/>
      <sz val="10.0"/>
      <color rgb="FF0000FF"/>
      <name val="Arial"/>
    </font>
    <font>
      <b/>
      <sz val="10.0"/>
      <color rgb="FF0000FF"/>
      <name val="Arial"/>
    </font>
    <font>
      <b/>
      <sz val="12.0"/>
      <color rgb="FFFF0000"/>
      <name val="Arial"/>
    </font>
    <font>
      <b/>
      <sz val="14.0"/>
      <color theme="1"/>
      <name val="Arial"/>
    </font>
    <font>
      <sz val="10.0"/>
      <color rgb="FF0000FF"/>
      <name val="Arial"/>
    </font>
    <font>
      <color theme="1"/>
      <name val="Arial"/>
      <scheme val="minor"/>
    </font>
    <font>
      <u/>
      <sz val="9.0"/>
      <color rgb="FF0000FF"/>
      <name val="Arial"/>
    </font>
    <font>
      <u/>
      <sz val="8.0"/>
      <color rgb="FF0000FF"/>
      <name val="Arial"/>
    </font>
    <font>
      <b/>
      <sz val="9.0"/>
      <color rgb="FFFF0000"/>
      <name val="Arial"/>
    </font>
    <font>
      <b/>
      <sz val="10.0"/>
      <color rgb="FFFF0000"/>
      <name val="Arial"/>
    </font>
    <font>
      <u/>
      <sz val="10.0"/>
      <color rgb="FF0000FF"/>
      <name val="Arial"/>
    </font>
    <font>
      <sz val="10.0"/>
      <color theme="0"/>
      <name val="Arial"/>
    </font>
    <font>
      <sz val="10.0"/>
      <color rgb="FFFF0000"/>
      <name val="Arial"/>
    </font>
    <font>
      <u/>
      <sz val="9.0"/>
      <color rgb="FF0000FF"/>
      <name val="Arial"/>
    </font>
    <font>
      <u/>
      <sz val="9.0"/>
      <color theme="1"/>
      <name val="Arial"/>
    </font>
    <font>
      <u/>
      <sz val="10.0"/>
      <color rgb="FF0000FF"/>
      <name val="Arial"/>
    </font>
    <font>
      <u/>
      <sz val="10.0"/>
      <color rgb="FF0000FF"/>
      <name val="Arial"/>
    </font>
    <font>
      <sz val="11.0"/>
      <color theme="1"/>
      <name val="Calibri"/>
    </font>
    <font>
      <sz val="10.0"/>
      <color rgb="FF0070C0"/>
      <name val="Arial"/>
    </font>
    <font>
      <u/>
      <sz val="9.0"/>
      <color rgb="FF0000FF"/>
      <name val="Arial"/>
    </font>
    <font>
      <u/>
      <sz val="10.0"/>
      <color rgb="FF0000FF"/>
      <name val="Arial"/>
    </font>
    <font>
      <sz val="9.0"/>
      <color rgb="FF0000FF"/>
      <name val="Arial"/>
    </font>
    <font>
      <b/>
      <sz val="9.0"/>
      <color rgb="FF0000FF"/>
      <name val="Arial"/>
    </font>
    <font>
      <sz val="14.0"/>
      <color theme="1"/>
      <name val="Arial"/>
    </font>
    <font>
      <b/>
      <strike/>
      <sz val="9.0"/>
      <color rgb="FFFF0000"/>
      <name val="Arial"/>
    </font>
    <font>
      <u/>
      <sz val="9.0"/>
      <color rgb="FF0000FF"/>
      <name val="Arial"/>
    </font>
    <font>
      <b/>
      <u/>
      <sz val="10.0"/>
      <color rgb="FF0000FF"/>
      <name val="Arial"/>
    </font>
    <font>
      <u/>
      <sz val="9.0"/>
      <color rgb="FF0000FF"/>
      <name val="Arial"/>
    </font>
    <font>
      <sz val="10.0"/>
      <color theme="1"/>
      <name val="Times New Roman"/>
    </font>
    <font>
      <u/>
      <sz val="9.0"/>
      <color rgb="FF0000FF"/>
      <name val="Arial"/>
    </font>
    <font>
      <u/>
      <sz val="9.0"/>
      <color rgb="FF0000FF"/>
      <name val="Arial"/>
    </font>
    <font>
      <u/>
      <sz val="9.0"/>
      <color rgb="FF0000FF"/>
      <name val="Arial"/>
    </font>
    <font>
      <u/>
      <sz val="9.0"/>
      <color rgb="FF0000FF"/>
      <name val="Arial"/>
    </font>
    <font>
      <sz val="10.0"/>
      <color rgb="FF000000"/>
      <name val="Arial"/>
    </font>
    <font>
      <b/>
      <sz val="10.0"/>
      <color rgb="FF000000"/>
      <name val="Arial"/>
    </font>
    <font>
      <b/>
      <sz val="12.0"/>
      <color theme="1"/>
      <name val="Arial"/>
    </font>
    <font>
      <b/>
      <sz val="10.0"/>
      <color theme="0"/>
      <name val="Arial"/>
    </font>
    <font>
      <u/>
      <sz val="9.0"/>
      <color rgb="FF0000FF"/>
      <name val="Arial"/>
    </font>
    <font>
      <sz val="9.0"/>
      <color theme="1"/>
      <name val="Arial"/>
    </font>
    <font>
      <sz val="10.0"/>
      <color theme="10"/>
      <name val="Arial"/>
    </font>
    <font>
      <u/>
      <sz val="10.0"/>
      <color rgb="FF0000FF"/>
      <name val="Arial"/>
    </font>
    <font>
      <b/>
      <u/>
      <sz val="10.0"/>
      <color rgb="FF0000FF"/>
      <name val="Arial"/>
    </font>
    <font>
      <u/>
      <sz val="10.0"/>
      <color rgb="FF0000FF"/>
      <name val="Arial"/>
    </font>
    <font>
      <strike/>
      <sz val="10.0"/>
      <color theme="1"/>
      <name val="Arial"/>
    </font>
    <font>
      <strike/>
      <sz val="10.0"/>
      <color rgb="FFFF0000"/>
      <name val="Arial"/>
    </font>
    <font>
      <b/>
      <strike/>
      <sz val="10.0"/>
      <color rgb="FFFF0000"/>
      <name val="Arial"/>
    </font>
    <font>
      <b/>
      <strike/>
      <sz val="10.0"/>
      <color theme="1"/>
      <name val="Arial"/>
    </font>
    <font>
      <b/>
      <sz val="9.0"/>
      <color rgb="FF00B050"/>
      <name val="Arial"/>
    </font>
    <font>
      <sz val="9.0"/>
      <color theme="1"/>
      <name val="Times New Roman"/>
    </font>
    <font>
      <u/>
      <sz val="10.0"/>
      <color rgb="FF0000FF"/>
      <name val="Arial"/>
    </font>
    <font>
      <u/>
      <sz val="10.0"/>
      <color rgb="FF0000FF"/>
      <name val="Arial"/>
    </font>
    <font>
      <u/>
      <sz val="10.0"/>
      <color rgb="FF0000FF"/>
      <name val="Arial"/>
    </font>
    <font>
      <u/>
      <sz val="10.0"/>
      <color rgb="FF0000FF"/>
      <name val="Arial"/>
    </font>
    <font>
      <u/>
      <sz val="9.0"/>
      <color rgb="FF0000FF"/>
      <name val="Arial"/>
    </font>
    <font>
      <u/>
      <sz val="10.0"/>
      <color rgb="FF0000FF"/>
      <name val="Arial"/>
    </font>
    <font>
      <u/>
      <sz val="10.0"/>
      <color rgb="FF0000FF"/>
      <name val="Arial"/>
    </font>
  </fonts>
  <fills count="9">
    <fill>
      <patternFill patternType="none"/>
    </fill>
    <fill>
      <patternFill patternType="lightGray"/>
    </fill>
    <fill>
      <patternFill patternType="solid">
        <fgColor rgb="FFCCFFFF"/>
        <bgColor rgb="FFCCFFFF"/>
      </patternFill>
    </fill>
    <fill>
      <patternFill patternType="solid">
        <fgColor theme="0"/>
        <bgColor theme="0"/>
      </patternFill>
    </fill>
    <fill>
      <patternFill patternType="solid">
        <fgColor rgb="FFFFFFCC"/>
        <bgColor rgb="FFFFFFCC"/>
      </patternFill>
    </fill>
    <fill>
      <patternFill patternType="solid">
        <fgColor rgb="FF969696"/>
        <bgColor rgb="FF969696"/>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s>
  <borders count="57">
    <border/>
    <border>
      <bottom style="thin">
        <color rgb="FF000000"/>
      </bottom>
    </border>
    <border>
      <left/>
      <right/>
      <top/>
      <bottom/>
    </border>
    <border>
      <top style="thin">
        <color rgb="FF000000"/>
      </top>
    </border>
    <border>
      <right style="thin">
        <color rgb="FF000000"/>
      </right>
    </border>
    <border>
      <left/>
      <top/>
      <bottom/>
    </border>
    <border>
      <top/>
      <bottom/>
    </border>
    <border>
      <right/>
      <top/>
      <bottom/>
    </border>
    <border>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right/>
      <top/>
      <bottom style="thin">
        <color rgb="FF000000"/>
      </bottom>
    </border>
    <border>
      <left style="thin">
        <color rgb="FF000000"/>
      </left>
      <right style="thin">
        <color rgb="FF000000"/>
      </right>
      <top/>
      <bottom style="thin">
        <color rgb="FF000000"/>
      </bottom>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double">
        <color rgb="FF000000"/>
      </bottom>
    </border>
    <border>
      <left style="thin">
        <color rgb="FF000000"/>
      </left>
      <right style="thin">
        <color rgb="FF000000"/>
      </right>
      <top style="double">
        <color rgb="FF000000"/>
      </top>
    </border>
    <border>
      <left style="thin">
        <color rgb="FF000000"/>
      </left>
      <right style="thin">
        <color rgb="FF000000"/>
      </right>
      <top style="medium">
        <color rgb="FF000000"/>
      </top>
      <bottom style="double">
        <color rgb="FF000000"/>
      </bottom>
    </border>
    <border>
      <left style="thin">
        <color rgb="FF000000"/>
      </left>
      <right style="thin">
        <color rgb="FF000000"/>
      </right>
      <bottom style="medium">
        <color rgb="FF000000"/>
      </bottom>
    </border>
    <border>
      <left style="thin">
        <color rgb="FF000000"/>
      </left>
      <right/>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medium">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right style="thin">
        <color rgb="FF000000"/>
      </right>
      <top style="double">
        <color rgb="FF000000"/>
      </top>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double">
        <color rgb="FF000000"/>
      </top>
    </border>
    <border>
      <left/>
      <right/>
      <top style="double">
        <color rgb="FF000000"/>
      </top>
      <bottom/>
    </border>
    <border>
      <left style="thin">
        <color rgb="FF000000"/>
      </left>
      <right/>
      <top style="double">
        <color rgb="FF000000"/>
      </top>
      <bottom/>
    </border>
    <border>
      <top style="double">
        <color rgb="FF000000"/>
      </top>
    </border>
    <border>
      <left/>
    </border>
    <border>
      <right/>
    </border>
    <border>
      <bottom style="medium">
        <color rgb="FF000000"/>
      </bottom>
    </border>
  </borders>
  <cellStyleXfs count="1">
    <xf borderId="0" fillId="0" fontId="0" numFmtId="0" applyAlignment="1" applyFont="1"/>
  </cellStyleXfs>
  <cellXfs count="470">
    <xf borderId="0" fillId="0" fontId="0" numFmtId="0" xfId="0" applyAlignment="1" applyFont="1">
      <alignment readingOrder="0" shrinkToFit="0" vertical="bottom" wrapText="0"/>
    </xf>
    <xf borderId="0" fillId="0" fontId="1" numFmtId="0" xfId="0" applyAlignment="1" applyFont="1">
      <alignment horizontal="left"/>
    </xf>
    <xf borderId="1" fillId="0" fontId="2" numFmtId="49" xfId="0" applyBorder="1" applyFont="1" applyNumberFormat="1"/>
    <xf borderId="1" fillId="0" fontId="3" numFmtId="0" xfId="0" applyBorder="1" applyFont="1"/>
    <xf borderId="0" fillId="0" fontId="1" numFmtId="0" xfId="0" applyAlignment="1" applyFont="1">
      <alignment horizontal="center"/>
    </xf>
    <xf borderId="1" fillId="0" fontId="2" numFmtId="49" xfId="0" applyAlignment="1" applyBorder="1" applyFont="1" applyNumberFormat="1">
      <alignment horizontal="center"/>
    </xf>
    <xf borderId="2" fillId="2" fontId="4" numFmtId="0" xfId="0" applyAlignment="1" applyBorder="1" applyFill="1" applyFont="1">
      <alignment horizontal="right"/>
    </xf>
    <xf borderId="0" fillId="0" fontId="5" numFmtId="0" xfId="0" applyFont="1"/>
    <xf borderId="3" fillId="0" fontId="2" numFmtId="0" xfId="0" applyAlignment="1" applyBorder="1" applyFont="1">
      <alignment horizontal="center"/>
    </xf>
    <xf borderId="3" fillId="0" fontId="3" numFmtId="0" xfId="0" applyBorder="1" applyFont="1"/>
    <xf borderId="0" fillId="0" fontId="2" numFmtId="0" xfId="0" applyAlignment="1" applyFont="1">
      <alignment horizontal="center"/>
    </xf>
    <xf borderId="1" fillId="0" fontId="2" numFmtId="0" xfId="0" applyBorder="1" applyFont="1"/>
    <xf borderId="0" fillId="0" fontId="6" numFmtId="0" xfId="0" applyAlignment="1" applyFont="1">
      <alignment horizontal="center" shrinkToFit="0" vertical="center" wrapText="1"/>
    </xf>
    <xf borderId="0" fillId="0" fontId="7" numFmtId="0" xfId="0" applyAlignment="1" applyFont="1">
      <alignment horizontal="center"/>
    </xf>
    <xf borderId="4" fillId="0" fontId="2" numFmtId="0" xfId="0" applyBorder="1" applyFont="1"/>
    <xf borderId="0" fillId="0" fontId="2" numFmtId="49" xfId="0" applyAlignment="1" applyFont="1" applyNumberFormat="1">
      <alignment horizontal="right"/>
    </xf>
    <xf borderId="0" fillId="0" fontId="2" numFmtId="164" xfId="0" applyFont="1" applyNumberFormat="1"/>
    <xf borderId="0" fillId="0" fontId="2" numFmtId="0" xfId="0" applyAlignment="1" applyFont="1">
      <alignment horizontal="right"/>
    </xf>
    <xf borderId="1" fillId="0" fontId="2" numFmtId="3" xfId="0" applyBorder="1" applyFont="1" applyNumberFormat="1"/>
    <xf borderId="0" fillId="0" fontId="2" numFmtId="3" xfId="0" applyFont="1" applyNumberFormat="1"/>
    <xf borderId="4" fillId="0" fontId="2" numFmtId="0" xfId="0" applyAlignment="1" applyBorder="1" applyFont="1">
      <alignment horizontal="center"/>
    </xf>
    <xf borderId="5" fillId="2" fontId="8" numFmtId="0" xfId="0" applyAlignment="1" applyBorder="1" applyFont="1">
      <alignment horizontal="left"/>
    </xf>
    <xf borderId="6" fillId="0" fontId="3" numFmtId="0" xfId="0" applyBorder="1" applyFont="1"/>
    <xf borderId="7" fillId="0" fontId="3" numFmtId="0" xfId="0" applyBorder="1" applyFont="1"/>
    <xf borderId="0" fillId="0" fontId="9" numFmtId="0" xfId="0" applyFont="1"/>
    <xf borderId="0" fillId="0" fontId="2" numFmtId="49" xfId="0" applyAlignment="1" applyFont="1" applyNumberFormat="1">
      <alignment horizontal="center"/>
    </xf>
    <xf borderId="4" fillId="0" fontId="10" numFmtId="0" xfId="0" applyAlignment="1" applyBorder="1" applyFont="1">
      <alignment horizontal="center" vertical="center"/>
    </xf>
    <xf borderId="0" fillId="0" fontId="8" numFmtId="0" xfId="0" applyFont="1"/>
    <xf borderId="4" fillId="0" fontId="3" numFmtId="0" xfId="0" applyBorder="1" applyFont="1"/>
    <xf borderId="5" fillId="2" fontId="8" numFmtId="0" xfId="0" applyAlignment="1" applyBorder="1" applyFont="1">
      <alignment horizontal="center"/>
    </xf>
    <xf borderId="0" fillId="0" fontId="2" numFmtId="0" xfId="0" applyAlignment="1" applyFont="1">
      <alignment horizontal="left"/>
    </xf>
    <xf borderId="1" fillId="0" fontId="2" numFmtId="0" xfId="0" applyAlignment="1" applyBorder="1" applyFont="1">
      <alignment horizontal="left"/>
    </xf>
    <xf borderId="1" fillId="0" fontId="2" numFmtId="165" xfId="0" applyAlignment="1" applyBorder="1" applyFont="1" applyNumberFormat="1">
      <alignment horizontal="center"/>
    </xf>
    <xf borderId="8" fillId="0" fontId="11" numFmtId="0" xfId="0" applyAlignment="1" applyBorder="1" applyFont="1">
      <alignment horizontal="left"/>
    </xf>
    <xf borderId="8" fillId="0" fontId="3" numFmtId="0" xfId="0" applyBorder="1" applyFont="1"/>
    <xf borderId="1" fillId="0" fontId="2" numFmtId="166" xfId="0" applyAlignment="1" applyBorder="1" applyFont="1" applyNumberFormat="1">
      <alignment horizontal="left"/>
    </xf>
    <xf borderId="0" fillId="0" fontId="12" numFmtId="0" xfId="0" applyFont="1"/>
    <xf borderId="0" fillId="0" fontId="13" numFmtId="0" xfId="0" applyAlignment="1" applyFont="1">
      <alignment horizontal="center"/>
    </xf>
    <xf borderId="8" fillId="0" fontId="2" numFmtId="166" xfId="0" applyAlignment="1" applyBorder="1" applyFont="1" applyNumberFormat="1">
      <alignment horizontal="left"/>
    </xf>
    <xf borderId="0" fillId="0" fontId="2" numFmtId="0" xfId="0" applyFont="1"/>
    <xf borderId="0" fillId="0" fontId="13" numFmtId="0" xfId="0" applyFont="1"/>
    <xf borderId="0" fillId="0" fontId="2" numFmtId="0" xfId="0" applyAlignment="1" applyFont="1">
      <alignment shrinkToFit="0" vertical="top" wrapText="1"/>
    </xf>
    <xf borderId="0" fillId="0" fontId="2" numFmtId="0" xfId="0" applyAlignment="1" applyFont="1">
      <alignment horizontal="left" shrinkToFit="0" vertical="top" wrapText="1"/>
    </xf>
    <xf borderId="0" fillId="0" fontId="2" numFmtId="0" xfId="0" applyAlignment="1" applyFont="1">
      <alignment shrinkToFit="0" wrapText="1"/>
    </xf>
    <xf borderId="0" fillId="0" fontId="2" numFmtId="14" xfId="0" applyAlignment="1" applyFont="1" applyNumberFormat="1">
      <alignment horizontal="center"/>
    </xf>
    <xf borderId="0" fillId="0" fontId="14" numFmtId="0" xfId="0" applyAlignment="1" applyFont="1">
      <alignment horizontal="center"/>
    </xf>
    <xf borderId="0" fillId="0" fontId="2" numFmtId="49" xfId="0" applyFont="1" applyNumberFormat="1"/>
    <xf borderId="0" fillId="0" fontId="2" numFmtId="49" xfId="0" applyAlignment="1" applyFont="1" applyNumberFormat="1">
      <alignment horizontal="left"/>
    </xf>
    <xf borderId="1" fillId="0" fontId="2" numFmtId="0" xfId="0" applyAlignment="1" applyBorder="1" applyFont="1">
      <alignment horizontal="center"/>
    </xf>
    <xf borderId="9" fillId="0" fontId="2" numFmtId="0" xfId="0" applyAlignment="1" applyBorder="1" applyFont="1">
      <alignment horizontal="center"/>
    </xf>
    <xf borderId="0" fillId="0" fontId="1" numFmtId="0" xfId="0" applyFont="1"/>
    <xf borderId="0" fillId="0" fontId="2" numFmtId="0" xfId="0" applyAlignment="1" applyFont="1">
      <alignment vertical="top"/>
    </xf>
    <xf borderId="0" fillId="0" fontId="1" numFmtId="0" xfId="0" applyAlignment="1" applyFont="1">
      <alignment shrinkToFit="0" wrapText="1"/>
    </xf>
    <xf borderId="0" fillId="0" fontId="15" numFmtId="0" xfId="0" applyFont="1"/>
    <xf quotePrefix="1" borderId="0" fillId="0" fontId="2" numFmtId="0" xfId="0" applyFont="1"/>
    <xf borderId="8" fillId="0" fontId="2" numFmtId="167" xfId="0" applyAlignment="1" applyBorder="1" applyFont="1" applyNumberFormat="1">
      <alignment horizontal="right" vertical="top"/>
    </xf>
    <xf quotePrefix="1" borderId="10" fillId="0" fontId="2" numFmtId="0" xfId="0" applyAlignment="1" applyBorder="1" applyFont="1">
      <alignment horizontal="left" shrinkToFit="0" vertical="top" wrapText="1"/>
    </xf>
    <xf borderId="11" fillId="0" fontId="3" numFmtId="0" xfId="0" applyBorder="1" applyFont="1"/>
    <xf borderId="12" fillId="0" fontId="2" numFmtId="0" xfId="0" applyBorder="1" applyFont="1"/>
    <xf borderId="12" fillId="0" fontId="3" numFmtId="0" xfId="0" applyBorder="1" applyFont="1"/>
    <xf borderId="0" fillId="0" fontId="16" numFmtId="0" xfId="0" applyAlignment="1" applyFont="1">
      <alignment horizontal="center"/>
    </xf>
    <xf borderId="13" fillId="0" fontId="3" numFmtId="0" xfId="0" applyBorder="1" applyFont="1"/>
    <xf borderId="14" fillId="0" fontId="3" numFmtId="0" xfId="0" applyBorder="1" applyFont="1"/>
    <xf borderId="1" fillId="0" fontId="2" numFmtId="49" xfId="0" applyAlignment="1" applyBorder="1" applyFont="1" applyNumberFormat="1">
      <alignment horizontal="left" vertical="top"/>
    </xf>
    <xf borderId="1" fillId="0" fontId="2" numFmtId="49" xfId="0" applyAlignment="1" applyBorder="1" applyFont="1" applyNumberFormat="1">
      <alignment horizontal="left"/>
    </xf>
    <xf borderId="2" fillId="3" fontId="15" numFmtId="0" xfId="0" applyBorder="1" applyFill="1" applyFont="1"/>
    <xf borderId="0" fillId="0" fontId="2" numFmtId="49" xfId="0" applyAlignment="1" applyFont="1" applyNumberFormat="1">
      <alignment horizontal="left" vertical="top"/>
    </xf>
    <xf borderId="5" fillId="2" fontId="5" numFmtId="49" xfId="0" applyAlignment="1" applyBorder="1" applyFont="1" applyNumberFormat="1">
      <alignment horizontal="center" vertical="top"/>
    </xf>
    <xf borderId="15" fillId="0" fontId="2" numFmtId="0" xfId="0" applyAlignment="1" applyBorder="1" applyFont="1">
      <alignment horizontal="center"/>
    </xf>
    <xf borderId="16" fillId="0" fontId="2" numFmtId="0" xfId="0" applyAlignment="1" applyBorder="1" applyFont="1">
      <alignment horizontal="center"/>
    </xf>
    <xf borderId="17" fillId="0" fontId="3" numFmtId="0" xfId="0" applyBorder="1" applyFont="1"/>
    <xf borderId="0" fillId="0" fontId="16" numFmtId="0" xfId="0" applyFont="1"/>
    <xf borderId="0" fillId="0" fontId="2" numFmtId="0" xfId="0" applyAlignment="1" applyFont="1">
      <alignment horizontal="left" vertical="center"/>
    </xf>
    <xf borderId="15" fillId="0" fontId="2" numFmtId="0" xfId="0" applyBorder="1" applyFont="1"/>
    <xf borderId="16" fillId="0" fontId="2" numFmtId="0" xfId="0" applyAlignment="1" applyBorder="1" applyFont="1">
      <alignment horizontal="left"/>
    </xf>
    <xf borderId="15" fillId="0" fontId="17" numFmtId="0" xfId="0" applyBorder="1" applyFont="1"/>
    <xf borderId="15" fillId="0" fontId="2" numFmtId="165" xfId="0" applyBorder="1" applyFont="1" applyNumberFormat="1"/>
    <xf borderId="16" fillId="0" fontId="2" numFmtId="0" xfId="0" applyBorder="1" applyFont="1"/>
    <xf borderId="15" fillId="0" fontId="18" numFmtId="0" xfId="0" applyBorder="1" applyFont="1"/>
    <xf borderId="2" fillId="3" fontId="15" numFmtId="0" xfId="0" applyAlignment="1" applyBorder="1" applyFont="1">
      <alignment vertical="center"/>
    </xf>
    <xf borderId="4" fillId="0" fontId="2" numFmtId="0" xfId="0" applyAlignment="1" applyBorder="1" applyFont="1">
      <alignment horizontal="left" vertical="center"/>
    </xf>
    <xf borderId="17" fillId="0" fontId="2" numFmtId="0" xfId="0" applyAlignment="1" applyBorder="1" applyFont="1">
      <alignment horizontal="left"/>
    </xf>
    <xf borderId="17" fillId="0" fontId="2" numFmtId="0" xfId="0" applyBorder="1" applyFont="1"/>
    <xf borderId="0" fillId="0" fontId="2" numFmtId="0" xfId="0" applyAlignment="1" applyFont="1">
      <alignment horizontal="left" shrinkToFit="0" wrapText="1"/>
    </xf>
    <xf borderId="10" fillId="0" fontId="2" numFmtId="0" xfId="0" applyAlignment="1" applyBorder="1" applyFont="1">
      <alignment horizontal="center" vertical="center"/>
    </xf>
    <xf borderId="16" fillId="0" fontId="19" numFmtId="0" xfId="0" applyAlignment="1" applyBorder="1" applyFont="1">
      <alignment horizontal="center"/>
    </xf>
    <xf borderId="2" fillId="2" fontId="20" numFmtId="0" xfId="0" applyBorder="1" applyFont="1"/>
    <xf borderId="2" fillId="2" fontId="8" numFmtId="0" xfId="0" applyBorder="1" applyFont="1"/>
    <xf borderId="2" fillId="3" fontId="2" numFmtId="0" xfId="0" applyBorder="1" applyFont="1"/>
    <xf borderId="2" fillId="4" fontId="2" numFmtId="0" xfId="0" applyBorder="1" applyFill="1" applyFont="1"/>
    <xf borderId="16" fillId="4" fontId="2" numFmtId="0" xfId="0" applyAlignment="1" applyBorder="1" applyFont="1">
      <alignment horizontal="center"/>
    </xf>
    <xf borderId="2" fillId="4" fontId="2" numFmtId="0" xfId="0" applyAlignment="1" applyBorder="1" applyFont="1">
      <alignment vertical="center"/>
    </xf>
    <xf borderId="5" fillId="4" fontId="2" numFmtId="0" xfId="0" applyAlignment="1" applyBorder="1" applyFont="1">
      <alignment horizontal="center"/>
    </xf>
    <xf borderId="16" fillId="4" fontId="2" numFmtId="0" xfId="0" applyAlignment="1" applyBorder="1" applyFont="1">
      <alignment horizontal="left"/>
    </xf>
    <xf borderId="5" fillId="4" fontId="2" numFmtId="0" xfId="0" applyAlignment="1" applyBorder="1" applyFont="1">
      <alignment horizontal="left" vertical="center"/>
    </xf>
    <xf borderId="0" fillId="0" fontId="21" numFmtId="0" xfId="0" applyAlignment="1" applyFont="1">
      <alignment vertical="center"/>
    </xf>
    <xf borderId="0" fillId="0" fontId="22" numFmtId="0" xfId="0" applyFont="1"/>
    <xf borderId="18" fillId="0" fontId="2" numFmtId="0" xfId="0" applyAlignment="1" applyBorder="1" applyFont="1">
      <alignment horizontal="center"/>
    </xf>
    <xf borderId="10" fillId="0" fontId="2" numFmtId="0" xfId="0" applyAlignment="1" applyBorder="1" applyFont="1">
      <alignment horizontal="center"/>
    </xf>
    <xf borderId="12" fillId="0" fontId="2" numFmtId="0" xfId="0" applyAlignment="1" applyBorder="1" applyFont="1">
      <alignment horizontal="left"/>
    </xf>
    <xf borderId="0" fillId="0" fontId="23" numFmtId="0" xfId="0" applyAlignment="1" applyFont="1">
      <alignment horizontal="center" vertical="center"/>
    </xf>
    <xf borderId="18" fillId="0" fontId="2" numFmtId="0" xfId="0" applyBorder="1" applyFont="1"/>
    <xf borderId="19" fillId="2" fontId="24" numFmtId="0" xfId="0" applyAlignment="1" applyBorder="1" applyFont="1">
      <alignment horizontal="center"/>
    </xf>
    <xf borderId="12" fillId="0" fontId="2" numFmtId="0" xfId="0" applyAlignment="1" applyBorder="1" applyFont="1">
      <alignment horizontal="center"/>
    </xf>
    <xf borderId="1" fillId="0" fontId="1" numFmtId="0" xfId="0" applyBorder="1" applyFont="1"/>
    <xf borderId="20" fillId="0" fontId="2" numFmtId="0" xfId="0" applyAlignment="1" applyBorder="1" applyFont="1">
      <alignment horizontal="center"/>
    </xf>
    <xf borderId="21" fillId="0" fontId="2" numFmtId="38" xfId="0" applyBorder="1" applyFont="1" applyNumberFormat="1"/>
    <xf borderId="10" fillId="0" fontId="2" numFmtId="38" xfId="0" applyBorder="1" applyFont="1" applyNumberFormat="1"/>
    <xf borderId="10" fillId="0" fontId="2" numFmtId="0" xfId="0" applyBorder="1" applyFont="1"/>
    <xf borderId="21" fillId="0" fontId="2" numFmtId="0" xfId="0" applyBorder="1" applyFont="1"/>
    <xf borderId="20" fillId="0" fontId="2" numFmtId="38" xfId="0" applyBorder="1" applyFont="1" applyNumberFormat="1"/>
    <xf borderId="13" fillId="0" fontId="2" numFmtId="38" xfId="0" applyBorder="1" applyFont="1" applyNumberFormat="1"/>
    <xf borderId="12" fillId="0" fontId="2" numFmtId="38" xfId="0" applyBorder="1" applyFont="1" applyNumberFormat="1"/>
    <xf borderId="18" fillId="0" fontId="2" numFmtId="167" xfId="0" applyBorder="1" applyFont="1" applyNumberFormat="1"/>
    <xf borderId="0" fillId="0" fontId="2" numFmtId="164" xfId="0" applyAlignment="1" applyFont="1" applyNumberFormat="1">
      <alignment horizontal="left"/>
    </xf>
    <xf borderId="20" fillId="0" fontId="2" numFmtId="167" xfId="0" applyBorder="1" applyFont="1" applyNumberFormat="1"/>
    <xf borderId="12" fillId="0" fontId="2" numFmtId="164" xfId="0" applyAlignment="1" applyBorder="1" applyFont="1" applyNumberFormat="1">
      <alignment horizontal="left"/>
    </xf>
    <xf borderId="15" fillId="0" fontId="2" numFmtId="38" xfId="0" applyBorder="1" applyFont="1" applyNumberFormat="1"/>
    <xf borderId="4" fillId="0" fontId="2" numFmtId="164" xfId="0" applyBorder="1" applyFont="1" applyNumberFormat="1"/>
    <xf borderId="14" fillId="0" fontId="2" numFmtId="38" xfId="0" applyBorder="1" applyFont="1" applyNumberFormat="1"/>
    <xf borderId="14" fillId="0" fontId="2" numFmtId="164" xfId="0" applyBorder="1" applyFont="1" applyNumberFormat="1"/>
    <xf borderId="18" fillId="0" fontId="2" numFmtId="38" xfId="0" applyBorder="1" applyFont="1" applyNumberFormat="1"/>
    <xf borderId="4" fillId="0" fontId="2" numFmtId="167" xfId="0" applyBorder="1" applyFont="1" applyNumberFormat="1"/>
    <xf borderId="15" fillId="0" fontId="2" numFmtId="167" xfId="0" applyBorder="1" applyFont="1" applyNumberFormat="1"/>
    <xf borderId="0" fillId="0" fontId="2" numFmtId="38" xfId="0" applyFont="1" applyNumberFormat="1"/>
    <xf borderId="0" fillId="0" fontId="2" numFmtId="167" xfId="0" applyFont="1" applyNumberFormat="1"/>
    <xf borderId="1" fillId="0" fontId="2" numFmtId="164" xfId="0" applyBorder="1" applyFont="1" applyNumberFormat="1"/>
    <xf borderId="22" fillId="2" fontId="8" numFmtId="0" xfId="0" applyBorder="1" applyFont="1"/>
    <xf borderId="22" fillId="2" fontId="25" numFmtId="0" xfId="0" applyBorder="1" applyFont="1"/>
    <xf borderId="23" fillId="5" fontId="2" numFmtId="38" xfId="0" applyBorder="1" applyFill="1" applyFont="1" applyNumberFormat="1"/>
    <xf borderId="8" fillId="0" fontId="2" numFmtId="0" xfId="0" applyBorder="1" applyFont="1"/>
    <xf borderId="20" fillId="0" fontId="2" numFmtId="3" xfId="0" applyBorder="1" applyFont="1" applyNumberFormat="1"/>
    <xf borderId="20" fillId="0" fontId="2" numFmtId="37" xfId="0" applyBorder="1" applyFont="1" applyNumberFormat="1"/>
    <xf borderId="0" fillId="0" fontId="26" numFmtId="0" xfId="0" applyAlignment="1" applyFont="1">
      <alignment horizontal="center"/>
    </xf>
    <xf borderId="0" fillId="0" fontId="25" numFmtId="0" xfId="0" applyAlignment="1" applyFont="1">
      <alignment horizontal="center"/>
    </xf>
    <xf borderId="5" fillId="2" fontId="5" numFmtId="0" xfId="0" applyAlignment="1" applyBorder="1" applyFont="1">
      <alignment horizontal="right"/>
    </xf>
    <xf borderId="2" fillId="2" fontId="5" numFmtId="0" xfId="0" applyAlignment="1" applyBorder="1" applyFont="1">
      <alignment horizontal="center"/>
    </xf>
    <xf borderId="5" fillId="2" fontId="5" numFmtId="0" xfId="0" applyAlignment="1" applyBorder="1" applyFont="1">
      <alignment horizontal="center"/>
    </xf>
    <xf borderId="0" fillId="0" fontId="27" numFmtId="0" xfId="0" applyAlignment="1" applyFont="1">
      <alignment horizontal="center" vertical="center"/>
    </xf>
    <xf borderId="15" fillId="0" fontId="2" numFmtId="0" xfId="0" applyAlignment="1" applyBorder="1" applyFont="1">
      <alignment horizontal="center" shrinkToFit="0" wrapText="1"/>
    </xf>
    <xf borderId="0" fillId="0" fontId="2" numFmtId="164" xfId="0" applyAlignment="1" applyFont="1" applyNumberFormat="1">
      <alignment horizontal="right" vertical="center"/>
    </xf>
    <xf borderId="0" fillId="0" fontId="2" numFmtId="0" xfId="0" applyAlignment="1" applyFont="1">
      <alignment vertical="center"/>
    </xf>
    <xf borderId="20" fillId="0" fontId="2" numFmtId="38" xfId="0" applyAlignment="1" applyBorder="1" applyFont="1" applyNumberFormat="1">
      <alignment vertical="center"/>
    </xf>
    <xf borderId="0" fillId="0" fontId="2" numFmtId="164" xfId="0" applyAlignment="1" applyFont="1" applyNumberFormat="1">
      <alignment vertical="center"/>
    </xf>
    <xf borderId="2" fillId="2" fontId="8" numFmtId="0" xfId="0" applyAlignment="1" applyBorder="1" applyFont="1">
      <alignment vertical="center"/>
    </xf>
    <xf borderId="2" fillId="2" fontId="2" numFmtId="0" xfId="0" applyAlignment="1" applyBorder="1" applyFont="1">
      <alignment vertical="center"/>
    </xf>
    <xf borderId="15" fillId="0" fontId="2" numFmtId="38" xfId="0" applyAlignment="1" applyBorder="1" applyFont="1" applyNumberFormat="1">
      <alignment vertical="center"/>
    </xf>
    <xf borderId="24" fillId="2" fontId="25" numFmtId="0" xfId="0" applyAlignment="1" applyBorder="1" applyFont="1">
      <alignment horizontal="left" shrinkToFit="0" vertical="top" wrapText="1"/>
    </xf>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0" fillId="0" fontId="2" numFmtId="38" xfId="0" applyAlignment="1" applyFont="1" applyNumberFormat="1">
      <alignment vertical="center"/>
    </xf>
    <xf borderId="0" fillId="0" fontId="2" numFmtId="38" xfId="0" applyAlignment="1" applyFont="1" applyNumberFormat="1">
      <alignment horizontal="left" readingOrder="1" vertical="center"/>
    </xf>
    <xf borderId="21" fillId="0" fontId="2" numFmtId="0" xfId="0" applyAlignment="1" applyBorder="1" applyFont="1">
      <alignment horizontal="center" shrinkToFit="0" wrapText="1"/>
    </xf>
    <xf borderId="21" fillId="0" fontId="2" numFmtId="38" xfId="0" applyAlignment="1" applyBorder="1" applyFont="1" applyNumberFormat="1">
      <alignment vertical="center"/>
    </xf>
    <xf borderId="20" fillId="0" fontId="3" numFmtId="0" xfId="0" applyBorder="1" applyFont="1"/>
    <xf borderId="30" fillId="0" fontId="2" numFmtId="38" xfId="0" applyAlignment="1" applyBorder="1" applyFont="1" applyNumberFormat="1">
      <alignment vertical="center"/>
    </xf>
    <xf borderId="31" fillId="0" fontId="2" numFmtId="38" xfId="0" applyAlignment="1" applyBorder="1" applyFont="1" applyNumberFormat="1">
      <alignment vertical="center"/>
    </xf>
    <xf borderId="0" fillId="0" fontId="8" numFmtId="0" xfId="0" applyAlignment="1" applyFont="1">
      <alignment vertical="center"/>
    </xf>
    <xf borderId="0" fillId="0" fontId="1" numFmtId="0" xfId="0" applyAlignment="1" applyFont="1">
      <alignment vertical="center"/>
    </xf>
    <xf borderId="32" fillId="0" fontId="2" numFmtId="38" xfId="0" applyBorder="1" applyFont="1" applyNumberFormat="1"/>
    <xf borderId="2" fillId="2" fontId="2" numFmtId="38" xfId="0" applyAlignment="1" applyBorder="1" applyFont="1" applyNumberFormat="1">
      <alignment vertical="center"/>
    </xf>
    <xf borderId="1" fillId="0" fontId="2" numFmtId="168" xfId="0" applyBorder="1" applyFont="1" applyNumberFormat="1"/>
    <xf borderId="8" fillId="0" fontId="2" numFmtId="168" xfId="0" applyBorder="1" applyFont="1" applyNumberFormat="1"/>
    <xf borderId="0" fillId="0" fontId="2" numFmtId="168" xfId="0" applyFont="1" applyNumberFormat="1"/>
    <xf borderId="2" fillId="2" fontId="5" numFmtId="0" xfId="0" applyAlignment="1" applyBorder="1" applyFont="1">
      <alignment horizontal="left" vertical="center"/>
    </xf>
    <xf borderId="2" fillId="2" fontId="12" numFmtId="0" xfId="0" applyBorder="1" applyFont="1"/>
    <xf borderId="2" fillId="2" fontId="28" numFmtId="0" xfId="0" applyBorder="1" applyFont="1"/>
    <xf borderId="2" fillId="2" fontId="26" numFmtId="0" xfId="0" applyBorder="1" applyFont="1"/>
    <xf borderId="2" fillId="2" fontId="29" numFmtId="0" xfId="0" applyAlignment="1" applyBorder="1" applyFont="1">
      <alignment vertical="center"/>
    </xf>
    <xf borderId="0" fillId="0" fontId="26" numFmtId="0" xfId="0" applyFont="1"/>
    <xf borderId="33" fillId="0" fontId="2" numFmtId="38" xfId="0" applyAlignment="1" applyBorder="1" applyFont="1" applyNumberFormat="1">
      <alignment vertical="center"/>
    </xf>
    <xf borderId="2" fillId="2" fontId="30" numFmtId="0" xfId="0" applyAlignment="1" applyBorder="1" applyFont="1">
      <alignment vertical="center"/>
    </xf>
    <xf borderId="0" fillId="0" fontId="16" numFmtId="38" xfId="0" applyFont="1" applyNumberFormat="1"/>
    <xf borderId="0" fillId="0" fontId="16" numFmtId="164" xfId="0" applyAlignment="1" applyFont="1" applyNumberFormat="1">
      <alignment horizontal="right" vertical="center"/>
    </xf>
    <xf borderId="0" fillId="0" fontId="1" numFmtId="0" xfId="0" applyAlignment="1" applyFont="1">
      <alignment horizontal="center" vertical="center"/>
    </xf>
    <xf borderId="5" fillId="2" fontId="5" numFmtId="0" xfId="0" applyAlignment="1" applyBorder="1" applyFont="1">
      <alignment horizontal="center" vertical="center"/>
    </xf>
    <xf borderId="34" fillId="0" fontId="2" numFmtId="38" xfId="0" applyBorder="1" applyFont="1" applyNumberFormat="1"/>
    <xf borderId="0" fillId="0" fontId="2" numFmtId="164" xfId="0" applyAlignment="1" applyFont="1" applyNumberFormat="1">
      <alignment vertical="top"/>
    </xf>
    <xf borderId="10" fillId="0" fontId="1" numFmtId="0" xfId="0" applyAlignment="1" applyBorder="1" applyFont="1">
      <alignment horizontal="left"/>
    </xf>
    <xf borderId="3" fillId="0" fontId="31" numFmtId="0" xfId="0" applyAlignment="1" applyBorder="1" applyFont="1">
      <alignment horizontal="center" vertical="center"/>
    </xf>
    <xf borderId="11" fillId="0" fontId="2" numFmtId="0" xfId="0" applyAlignment="1" applyBorder="1" applyFont="1">
      <alignment horizontal="center"/>
    </xf>
    <xf borderId="21" fillId="0" fontId="2" numFmtId="0" xfId="0" applyAlignment="1" applyBorder="1" applyFont="1">
      <alignment horizontal="center"/>
    </xf>
    <xf borderId="12" fillId="0" fontId="1" numFmtId="0" xfId="0" applyBorder="1" applyFont="1"/>
    <xf borderId="18" fillId="0" fontId="2" numFmtId="0" xfId="0" applyAlignment="1" applyBorder="1" applyFont="1">
      <alignment horizontal="center" shrinkToFit="0" wrapText="1"/>
    </xf>
    <xf borderId="13" fillId="0" fontId="2" numFmtId="0" xfId="0" applyBorder="1" applyFont="1"/>
    <xf borderId="14" fillId="0" fontId="2" numFmtId="0" xfId="0" applyBorder="1" applyFont="1"/>
    <xf borderId="13" fillId="0" fontId="2" numFmtId="0" xfId="0" applyAlignment="1" applyBorder="1" applyFont="1">
      <alignment horizontal="center"/>
    </xf>
    <xf borderId="35" fillId="2" fontId="8" numFmtId="0" xfId="0" applyBorder="1" applyFont="1"/>
    <xf borderId="2" fillId="2" fontId="25" numFmtId="0" xfId="0" applyBorder="1" applyFont="1"/>
    <xf borderId="11" fillId="0" fontId="2" numFmtId="38" xfId="0" applyBorder="1" applyFont="1" applyNumberFormat="1"/>
    <xf borderId="0" fillId="0" fontId="32" numFmtId="0" xfId="0" applyAlignment="1" applyFont="1">
      <alignment horizontal="left" shrinkToFit="0" wrapText="1"/>
    </xf>
    <xf borderId="17" fillId="0" fontId="2" numFmtId="164" xfId="0" applyBorder="1" applyFont="1" applyNumberFormat="1"/>
    <xf borderId="16" fillId="0" fontId="2" numFmtId="38" xfId="0" applyAlignment="1" applyBorder="1" applyFont="1" applyNumberFormat="1">
      <alignment horizontal="right"/>
    </xf>
    <xf borderId="2" fillId="2" fontId="33" numFmtId="0" xfId="0" applyBorder="1" applyFont="1"/>
    <xf borderId="0" fillId="0" fontId="22" numFmtId="0" xfId="0" applyAlignment="1" applyFont="1">
      <alignment horizontal="center"/>
    </xf>
    <xf borderId="10" fillId="0" fontId="1" numFmtId="0" xfId="0" applyBorder="1" applyFont="1"/>
    <xf borderId="3" fillId="0" fontId="2" numFmtId="0" xfId="0" applyBorder="1" applyFont="1"/>
    <xf borderId="11" fillId="0" fontId="2" numFmtId="0" xfId="0" applyBorder="1" applyFont="1"/>
    <xf borderId="13" fillId="0" fontId="1" numFmtId="0" xfId="0" applyBorder="1" applyFont="1"/>
    <xf borderId="36" fillId="2" fontId="8" numFmtId="0" xfId="0" applyBorder="1" applyFont="1"/>
    <xf borderId="37" fillId="2" fontId="34" numFmtId="0" xfId="0" applyBorder="1" applyFont="1"/>
    <xf borderId="3" fillId="0" fontId="35" numFmtId="164" xfId="0" applyBorder="1" applyFont="1" applyNumberFormat="1"/>
    <xf borderId="21" fillId="0" fontId="36" numFmtId="0" xfId="0" applyBorder="1" applyFont="1"/>
    <xf borderId="11" fillId="0" fontId="2" numFmtId="169" xfId="0" applyBorder="1" applyFont="1" applyNumberFormat="1"/>
    <xf borderId="18" fillId="0" fontId="2" numFmtId="169" xfId="0" applyBorder="1" applyFont="1" applyNumberFormat="1"/>
    <xf borderId="4" fillId="0" fontId="2" numFmtId="169" xfId="0" applyBorder="1" applyFont="1" applyNumberFormat="1"/>
    <xf borderId="20" fillId="0" fontId="2" numFmtId="169" xfId="0" applyBorder="1" applyFont="1" applyNumberFormat="1"/>
    <xf borderId="14" fillId="0" fontId="2" numFmtId="169" xfId="0" applyBorder="1" applyFont="1" applyNumberFormat="1"/>
    <xf borderId="15" fillId="0" fontId="2" numFmtId="169" xfId="0" applyAlignment="1" applyBorder="1" applyFont="1" applyNumberFormat="1">
      <alignment horizontal="right"/>
    </xf>
    <xf borderId="20" fillId="0" fontId="2" numFmtId="38" xfId="0" applyAlignment="1" applyBorder="1" applyFont="1" applyNumberFormat="1">
      <alignment horizontal="right"/>
    </xf>
    <xf borderId="20" fillId="0" fontId="2" numFmtId="167" xfId="0" applyAlignment="1" applyBorder="1" applyFont="1" applyNumberFormat="1">
      <alignment horizontal="right"/>
    </xf>
    <xf borderId="15" fillId="0" fontId="2" numFmtId="169" xfId="0" applyBorder="1" applyFont="1" applyNumberFormat="1"/>
    <xf borderId="15" fillId="0" fontId="2" numFmtId="38" xfId="0" applyAlignment="1" applyBorder="1" applyFont="1" applyNumberFormat="1">
      <alignment horizontal="right"/>
    </xf>
    <xf borderId="15" fillId="0" fontId="2" numFmtId="167" xfId="0" applyAlignment="1" applyBorder="1" applyFont="1" applyNumberFormat="1">
      <alignment horizontal="right"/>
    </xf>
    <xf borderId="21" fillId="0" fontId="2" numFmtId="167" xfId="0" applyAlignment="1" applyBorder="1" applyFont="1" applyNumberFormat="1">
      <alignment horizontal="right"/>
    </xf>
    <xf borderId="37" fillId="2" fontId="25" numFmtId="0" xfId="0" applyBorder="1" applyFont="1"/>
    <xf borderId="3" fillId="0" fontId="2" numFmtId="164" xfId="0" applyBorder="1" applyFont="1" applyNumberFormat="1"/>
    <xf borderId="20" fillId="0" fontId="2" numFmtId="169" xfId="0" applyAlignment="1" applyBorder="1" applyFont="1" applyNumberFormat="1">
      <alignment horizontal="right"/>
    </xf>
    <xf borderId="1" fillId="0" fontId="37" numFmtId="49" xfId="0" applyBorder="1" applyFont="1" applyNumberFormat="1"/>
    <xf borderId="0" fillId="0" fontId="37" numFmtId="0" xfId="0" applyFont="1"/>
    <xf borderId="3" fillId="0" fontId="37" numFmtId="0" xfId="0" applyBorder="1" applyFont="1"/>
    <xf borderId="10" fillId="0" fontId="37" numFmtId="0" xfId="0" applyAlignment="1" applyBorder="1" applyFont="1">
      <alignment horizontal="center"/>
    </xf>
    <xf borderId="21" fillId="0" fontId="37" numFmtId="0" xfId="0" applyAlignment="1" applyBorder="1" applyFont="1">
      <alignment horizontal="center"/>
    </xf>
    <xf borderId="10" fillId="0" fontId="2" numFmtId="0" xfId="0" applyAlignment="1" applyBorder="1" applyFont="1">
      <alignment horizontal="center" shrinkToFit="0" vertical="center" wrapText="1"/>
    </xf>
    <xf borderId="12" fillId="0" fontId="37" numFmtId="0" xfId="0" applyBorder="1" applyFont="1"/>
    <xf borderId="4" fillId="0" fontId="37" numFmtId="0" xfId="0" applyAlignment="1" applyBorder="1" applyFont="1">
      <alignment horizontal="center"/>
    </xf>
    <xf borderId="14" fillId="0" fontId="37" numFmtId="0" xfId="0" applyAlignment="1" applyBorder="1" applyFont="1">
      <alignment horizontal="center"/>
    </xf>
    <xf borderId="20" fillId="0" fontId="37" numFmtId="38" xfId="0" applyBorder="1" applyFont="1" applyNumberFormat="1"/>
    <xf borderId="21" fillId="0" fontId="2" numFmtId="167" xfId="0" applyBorder="1" applyFont="1" applyNumberFormat="1"/>
    <xf borderId="21" fillId="0" fontId="37" numFmtId="0" xfId="0" applyBorder="1" applyFont="1"/>
    <xf borderId="10" fillId="0" fontId="37" numFmtId="0" xfId="0" applyBorder="1" applyFont="1"/>
    <xf borderId="13" fillId="0" fontId="37" numFmtId="38" xfId="0" applyBorder="1" applyFont="1" applyNumberFormat="1"/>
    <xf borderId="0" fillId="0" fontId="37" numFmtId="0" xfId="0" applyAlignment="1" applyFont="1">
      <alignment shrinkToFit="0" vertical="center" wrapText="1"/>
    </xf>
    <xf borderId="15" fillId="0" fontId="37" numFmtId="38" xfId="0" applyBorder="1" applyFont="1" applyNumberFormat="1"/>
    <xf borderId="11" fillId="0" fontId="37" numFmtId="0" xfId="0" applyBorder="1" applyFont="1"/>
    <xf borderId="16" fillId="0" fontId="37" numFmtId="0" xfId="0" applyAlignment="1" applyBorder="1" applyFont="1">
      <alignment horizontal="center"/>
    </xf>
    <xf borderId="12" fillId="0" fontId="1" numFmtId="0" xfId="0" applyAlignment="1" applyBorder="1" applyFont="1">
      <alignment horizontal="left"/>
    </xf>
    <xf borderId="0" fillId="0" fontId="38" numFmtId="0" xfId="0" applyAlignment="1" applyFont="1">
      <alignment horizontal="left"/>
    </xf>
    <xf borderId="4" fillId="0" fontId="37" numFmtId="0" xfId="0" applyBorder="1" applyFont="1"/>
    <xf borderId="13" fillId="0" fontId="38" numFmtId="0" xfId="0" applyAlignment="1" applyBorder="1" applyFont="1">
      <alignment horizontal="left"/>
    </xf>
    <xf borderId="1" fillId="0" fontId="38" numFmtId="0" xfId="0" applyAlignment="1" applyBorder="1" applyFont="1">
      <alignment horizontal="left"/>
    </xf>
    <xf borderId="14" fillId="0" fontId="37" numFmtId="0" xfId="0" applyBorder="1" applyFont="1"/>
    <xf borderId="21" fillId="0" fontId="37" numFmtId="38" xfId="0" applyBorder="1" applyFont="1" applyNumberFormat="1"/>
    <xf borderId="13" fillId="0" fontId="2" numFmtId="0" xfId="0" applyAlignment="1" applyBorder="1" applyFont="1">
      <alignment horizontal="left"/>
    </xf>
    <xf borderId="0" fillId="0" fontId="37" numFmtId="0" xfId="0" applyAlignment="1" applyFont="1">
      <alignment horizontal="left"/>
    </xf>
    <xf borderId="0" fillId="0" fontId="37" numFmtId="38" xfId="0" applyFont="1" applyNumberFormat="1"/>
    <xf borderId="13" fillId="0" fontId="37" numFmtId="0" xfId="0" applyBorder="1" applyFont="1"/>
    <xf borderId="1" fillId="0" fontId="37" numFmtId="0" xfId="0" applyBorder="1" applyFont="1"/>
    <xf borderId="16" fillId="0" fontId="1" numFmtId="0" xfId="0" applyAlignment="1" applyBorder="1" applyFont="1">
      <alignment horizontal="center"/>
    </xf>
    <xf borderId="16" fillId="0" fontId="37" numFmtId="38" xfId="0" applyAlignment="1" applyBorder="1" applyFont="1" applyNumberFormat="1">
      <alignment horizontal="center"/>
    </xf>
    <xf borderId="18" fillId="0" fontId="37" numFmtId="38" xfId="0" applyBorder="1" applyFont="1" applyNumberFormat="1"/>
    <xf borderId="12" fillId="0" fontId="37" numFmtId="38" xfId="0" applyBorder="1" applyFont="1" applyNumberFormat="1"/>
    <xf borderId="12" fillId="0" fontId="38" numFmtId="0" xfId="0" applyBorder="1" applyFont="1"/>
    <xf borderId="16" fillId="0" fontId="37" numFmtId="0" xfId="0" applyBorder="1" applyFont="1"/>
    <xf borderId="8" fillId="0" fontId="37" numFmtId="0" xfId="0" applyBorder="1" applyFont="1"/>
    <xf borderId="0" fillId="0" fontId="13" numFmtId="0" xfId="0" applyAlignment="1" applyFont="1">
      <alignment horizontal="center" shrinkToFit="0" vertical="top" wrapText="1"/>
    </xf>
    <xf borderId="0" fillId="0" fontId="13" numFmtId="0" xfId="0" applyAlignment="1" applyFont="1">
      <alignment shrinkToFit="0" vertical="top" wrapText="1"/>
    </xf>
    <xf borderId="0" fillId="0" fontId="37" numFmtId="0" xfId="0" applyAlignment="1" applyFont="1">
      <alignment horizontal="center"/>
    </xf>
    <xf borderId="17" fillId="0" fontId="37" numFmtId="0" xfId="0" applyBorder="1" applyFont="1"/>
    <xf borderId="10" fillId="0" fontId="37" numFmtId="0" xfId="0" applyAlignment="1" applyBorder="1" applyFont="1">
      <alignment horizontal="left" shrinkToFit="0" vertical="top" wrapText="1"/>
    </xf>
    <xf borderId="0" fillId="0" fontId="37" numFmtId="0" xfId="0" applyAlignment="1" applyFont="1">
      <alignment vertical="top"/>
    </xf>
    <xf borderId="0" fillId="0" fontId="37" numFmtId="0" xfId="0" applyAlignment="1" applyFont="1">
      <alignment horizontal="right"/>
    </xf>
    <xf borderId="2" fillId="6" fontId="2" numFmtId="170" xfId="0" applyBorder="1" applyFill="1" applyFont="1" applyNumberFormat="1"/>
    <xf borderId="2" fillId="6" fontId="16" numFmtId="170" xfId="0" applyBorder="1" applyFont="1" applyNumberFormat="1"/>
    <xf borderId="0" fillId="0" fontId="16" numFmtId="170" xfId="0" applyFont="1" applyNumberFormat="1"/>
    <xf borderId="0" fillId="0" fontId="1" numFmtId="0" xfId="0" applyAlignment="1" applyFont="1">
      <alignment horizontal="right"/>
    </xf>
    <xf borderId="0" fillId="0" fontId="2" numFmtId="170" xfId="0" applyFont="1" applyNumberFormat="1"/>
    <xf borderId="2" fillId="6" fontId="1" numFmtId="170" xfId="0" applyAlignment="1" applyBorder="1" applyFont="1" applyNumberFormat="1">
      <alignment horizontal="center"/>
    </xf>
    <xf borderId="0" fillId="0" fontId="1" numFmtId="37" xfId="0" applyAlignment="1" applyFont="1" applyNumberFormat="1">
      <alignment horizontal="left" shrinkToFit="0" wrapText="1"/>
    </xf>
    <xf borderId="0" fillId="0" fontId="2" numFmtId="37" xfId="0" applyFont="1" applyNumberFormat="1"/>
    <xf borderId="0" fillId="0" fontId="2" numFmtId="0" xfId="0" applyAlignment="1" applyFont="1">
      <alignment horizontal="left" vertical="top"/>
    </xf>
    <xf borderId="0" fillId="0" fontId="2" numFmtId="37" xfId="0" applyAlignment="1" applyFont="1" applyNumberFormat="1">
      <alignment horizontal="left"/>
    </xf>
    <xf borderId="2" fillId="3" fontId="16" numFmtId="0" xfId="0" applyBorder="1" applyFont="1"/>
    <xf borderId="0" fillId="0" fontId="1" numFmtId="37" xfId="0" applyAlignment="1" applyFont="1" applyNumberFormat="1">
      <alignment horizontal="left"/>
    </xf>
    <xf borderId="15" fillId="7" fontId="1" numFmtId="0" xfId="0" applyAlignment="1" applyBorder="1" applyFill="1" applyFont="1">
      <alignment horizontal="center" shrinkToFit="0" wrapText="1"/>
    </xf>
    <xf borderId="0" fillId="0" fontId="1" numFmtId="0" xfId="0" applyAlignment="1" applyFont="1">
      <alignment horizontal="left" vertical="top"/>
    </xf>
    <xf quotePrefix="1" borderId="0" fillId="0" fontId="2" numFmtId="0" xfId="0" applyAlignment="1" applyFont="1">
      <alignment horizontal="right"/>
    </xf>
    <xf borderId="15" fillId="0" fontId="2" numFmtId="37" xfId="0" applyBorder="1" applyFont="1" applyNumberFormat="1"/>
    <xf borderId="0" fillId="0" fontId="8" numFmtId="170" xfId="0" applyAlignment="1" applyFont="1" applyNumberFormat="1">
      <alignment horizontal="right"/>
    </xf>
    <xf borderId="0" fillId="0" fontId="2" numFmtId="37" xfId="0" applyAlignment="1" applyFont="1" applyNumberFormat="1">
      <alignment shrinkToFit="0" wrapText="1"/>
    </xf>
    <xf borderId="8" fillId="0" fontId="2" numFmtId="37" xfId="0" applyBorder="1" applyFont="1" applyNumberFormat="1"/>
    <xf borderId="0" fillId="0" fontId="2" numFmtId="49" xfId="0" applyAlignment="1" applyFont="1" applyNumberFormat="1">
      <alignment horizontal="center" vertical="top"/>
    </xf>
    <xf borderId="10" fillId="0" fontId="2" numFmtId="37" xfId="0" applyAlignment="1" applyBorder="1" applyFont="1" applyNumberFormat="1">
      <alignment horizontal="left" vertical="top"/>
    </xf>
    <xf borderId="0" fillId="0" fontId="39" numFmtId="0" xfId="0" applyAlignment="1" applyFont="1">
      <alignment horizontal="left"/>
    </xf>
    <xf borderId="0" fillId="0" fontId="1" numFmtId="0" xfId="0" applyAlignment="1" applyFont="1">
      <alignment vertical="top"/>
    </xf>
    <xf borderId="0" fillId="0" fontId="40" numFmtId="0" xfId="0" applyAlignment="1" applyFont="1">
      <alignment horizontal="center" vertical="top"/>
    </xf>
    <xf borderId="5" fillId="7" fontId="2" numFmtId="0" xfId="0" applyAlignment="1" applyBorder="1" applyFont="1">
      <alignment horizontal="left" shrinkToFit="0" vertical="top" wrapText="1"/>
    </xf>
    <xf borderId="38" fillId="0" fontId="2" numFmtId="0" xfId="0" applyBorder="1" applyFont="1"/>
    <xf borderId="16" fillId="0" fontId="2" numFmtId="0" xfId="0" applyAlignment="1" applyBorder="1" applyFont="1">
      <alignment horizontal="left" shrinkToFit="0" vertical="center" wrapText="1"/>
    </xf>
    <xf borderId="16" fillId="0" fontId="37" numFmtId="0" xfId="0" applyAlignment="1" applyBorder="1" applyFont="1">
      <alignment horizontal="left" shrinkToFit="0" vertical="center" wrapText="1"/>
    </xf>
    <xf borderId="39" fillId="0" fontId="2" numFmtId="0" xfId="0" applyBorder="1" applyFont="1"/>
    <xf borderId="9" fillId="0" fontId="2" numFmtId="0" xfId="0" applyBorder="1" applyFont="1"/>
    <xf borderId="16" fillId="0" fontId="2" numFmtId="0" xfId="0" applyAlignment="1" applyBorder="1" applyFont="1">
      <alignment horizontal="left" vertical="center"/>
    </xf>
    <xf borderId="16" fillId="0" fontId="2" numFmtId="49" xfId="0" applyAlignment="1" applyBorder="1" applyFont="1" applyNumberFormat="1">
      <alignment horizontal="center"/>
    </xf>
    <xf borderId="13" fillId="0" fontId="2" numFmtId="171" xfId="0" applyAlignment="1" applyBorder="1" applyFont="1" applyNumberFormat="1">
      <alignment horizontal="right"/>
    </xf>
    <xf borderId="13" fillId="0" fontId="2" numFmtId="172" xfId="0" applyAlignment="1" applyBorder="1" applyFont="1" applyNumberFormat="1">
      <alignment horizontal="right"/>
    </xf>
    <xf borderId="1" fillId="0" fontId="2" numFmtId="171" xfId="0" applyAlignment="1" applyBorder="1" applyFont="1" applyNumberFormat="1">
      <alignment horizontal="right"/>
    </xf>
    <xf borderId="40" fillId="8" fontId="2" numFmtId="0" xfId="0" applyAlignment="1" applyBorder="1" applyFill="1" applyFont="1">
      <alignment horizontal="center"/>
    </xf>
    <xf borderId="41" fillId="8" fontId="2" numFmtId="0" xfId="0" applyAlignment="1" applyBorder="1" applyFont="1">
      <alignment horizontal="center"/>
    </xf>
    <xf borderId="42" fillId="3" fontId="2" numFmtId="0" xfId="0" applyAlignment="1" applyBorder="1" applyFont="1">
      <alignment horizontal="center"/>
    </xf>
    <xf borderId="8" fillId="0" fontId="2" numFmtId="171" xfId="0" applyAlignment="1" applyBorder="1" applyFont="1" applyNumberFormat="1">
      <alignment horizontal="right"/>
    </xf>
    <xf borderId="8" fillId="0" fontId="2" numFmtId="171" xfId="0" applyBorder="1" applyFont="1" applyNumberFormat="1"/>
    <xf borderId="16" fillId="0" fontId="2" numFmtId="0" xfId="0" applyAlignment="1" applyBorder="1" applyFont="1">
      <alignment horizontal="left" vertical="top"/>
    </xf>
    <xf borderId="14" fillId="0" fontId="2" numFmtId="171" xfId="0" applyBorder="1" applyFont="1" applyNumberFormat="1"/>
    <xf borderId="0" fillId="0" fontId="41" numFmtId="0" xfId="0" applyFont="1"/>
    <xf borderId="4" fillId="0" fontId="2" numFmtId="171" xfId="0" applyBorder="1" applyFont="1" applyNumberFormat="1"/>
    <xf borderId="1" fillId="0" fontId="2" numFmtId="171" xfId="0" applyBorder="1" applyFont="1" applyNumberFormat="1"/>
    <xf borderId="42" fillId="3" fontId="15" numFmtId="0" xfId="0" applyBorder="1" applyFont="1"/>
    <xf borderId="42" fillId="8" fontId="2" numFmtId="0" xfId="0" applyBorder="1" applyFont="1"/>
    <xf borderId="41" fillId="8" fontId="2" numFmtId="0" xfId="0" applyBorder="1" applyFont="1"/>
    <xf borderId="42" fillId="3" fontId="2" numFmtId="0" xfId="0" applyBorder="1" applyFont="1"/>
    <xf borderId="0" fillId="0" fontId="2" numFmtId="164" xfId="0" applyAlignment="1" applyFont="1" applyNumberFormat="1">
      <alignment horizontal="right"/>
    </xf>
    <xf borderId="2" fillId="3" fontId="8" numFmtId="0" xfId="0" applyBorder="1" applyFont="1"/>
    <xf borderId="0" fillId="0" fontId="2" numFmtId="173" xfId="0" applyFont="1" applyNumberFormat="1"/>
    <xf borderId="0" fillId="0" fontId="39" numFmtId="0" xfId="0" applyFont="1"/>
    <xf borderId="0" fillId="0" fontId="2" numFmtId="174" xfId="0" applyAlignment="1" applyFont="1" applyNumberFormat="1">
      <alignment horizontal="right"/>
    </xf>
    <xf borderId="0" fillId="0" fontId="5" numFmtId="164" xfId="0" applyFont="1" applyNumberFormat="1"/>
    <xf borderId="16" fillId="0" fontId="2" numFmtId="0" xfId="0" applyAlignment="1" applyBorder="1" applyFont="1">
      <alignment horizontal="center" shrinkToFit="0" wrapText="1"/>
    </xf>
    <xf borderId="0" fillId="0" fontId="2" numFmtId="0" xfId="0" applyAlignment="1" applyFont="1">
      <alignment horizontal="center" shrinkToFit="0" wrapText="1"/>
    </xf>
    <xf borderId="16" fillId="0" fontId="2" numFmtId="175" xfId="0" applyAlignment="1" applyBorder="1" applyFont="1" applyNumberFormat="1">
      <alignment shrinkToFit="0" wrapText="1"/>
    </xf>
    <xf borderId="16" fillId="0" fontId="2" numFmtId="175" xfId="0" applyAlignment="1" applyBorder="1" applyFont="1" applyNumberFormat="1">
      <alignment horizontal="right"/>
    </xf>
    <xf borderId="16" fillId="0" fontId="2" numFmtId="175" xfId="0" applyAlignment="1" applyBorder="1" applyFont="1" applyNumberFormat="1">
      <alignment horizontal="center"/>
    </xf>
    <xf borderId="0" fillId="0" fontId="2" numFmtId="174" xfId="0" applyAlignment="1" applyFont="1" applyNumberFormat="1">
      <alignment horizontal="right" shrinkToFit="0" wrapText="1"/>
    </xf>
    <xf borderId="0" fillId="0" fontId="2" numFmtId="174" xfId="0" applyFont="1" applyNumberFormat="1"/>
    <xf borderId="15" fillId="8" fontId="2" numFmtId="175" xfId="0" applyBorder="1" applyFont="1" applyNumberFormat="1"/>
    <xf borderId="16" fillId="8" fontId="2" numFmtId="175" xfId="0" applyAlignment="1" applyBorder="1" applyFont="1" applyNumberFormat="1">
      <alignment horizontal="center"/>
    </xf>
    <xf borderId="16" fillId="0" fontId="2" numFmtId="175" xfId="0" applyBorder="1" applyFont="1" applyNumberFormat="1"/>
    <xf borderId="16" fillId="0" fontId="2" numFmtId="175" xfId="0" applyAlignment="1" applyBorder="1" applyFont="1" applyNumberFormat="1">
      <alignment horizontal="center" shrinkToFit="0" wrapText="1"/>
    </xf>
    <xf borderId="0" fillId="0" fontId="2" numFmtId="49" xfId="0" applyAlignment="1" applyFont="1" applyNumberFormat="1">
      <alignment vertical="top"/>
    </xf>
    <xf borderId="0" fillId="0" fontId="2" numFmtId="174" xfId="0" applyAlignment="1" applyFont="1" applyNumberFormat="1">
      <alignment shrinkToFit="0" vertical="top" wrapText="1"/>
    </xf>
    <xf borderId="0" fillId="0" fontId="2" numFmtId="174" xfId="0" applyAlignment="1" applyFont="1" applyNumberFormat="1">
      <alignment vertical="top"/>
    </xf>
    <xf borderId="0" fillId="0" fontId="2" numFmtId="174" xfId="0" applyAlignment="1" applyFont="1" applyNumberFormat="1">
      <alignment horizontal="center" shrinkToFit="0" vertical="top" wrapText="1"/>
    </xf>
    <xf borderId="0" fillId="0" fontId="2" numFmtId="174" xfId="0" applyAlignment="1" applyFont="1" applyNumberFormat="1">
      <alignment horizontal="right" shrinkToFit="0" vertical="top" wrapText="1"/>
    </xf>
    <xf borderId="0" fillId="0" fontId="2" numFmtId="39" xfId="0" applyFont="1" applyNumberFormat="1"/>
    <xf borderId="1" fillId="0" fontId="2" numFmtId="39" xfId="0" applyBorder="1" applyFont="1" applyNumberFormat="1"/>
    <xf borderId="0" fillId="0" fontId="39" numFmtId="0" xfId="0" applyAlignment="1" applyFont="1">
      <alignment horizontal="left" shrinkToFit="0" vertical="top" wrapText="1"/>
    </xf>
    <xf borderId="1" fillId="0" fontId="2" numFmtId="176" xfId="0" applyBorder="1" applyFont="1" applyNumberFormat="1"/>
    <xf borderId="0" fillId="0" fontId="1" numFmtId="49" xfId="0" applyAlignment="1" applyFont="1" applyNumberFormat="1">
      <alignment horizontal="center"/>
    </xf>
    <xf borderId="0" fillId="0" fontId="42" numFmtId="0" xfId="0" applyFont="1"/>
    <xf borderId="0" fillId="0" fontId="1" numFmtId="49" xfId="0" applyAlignment="1" applyFont="1" applyNumberFormat="1">
      <alignment horizontal="left"/>
    </xf>
    <xf borderId="2" fillId="2" fontId="5" numFmtId="0" xfId="0" applyBorder="1" applyFont="1"/>
    <xf borderId="2" fillId="2" fontId="5" numFmtId="0" xfId="0" applyAlignment="1" applyBorder="1" applyFont="1">
      <alignment horizontal="left"/>
    </xf>
    <xf borderId="2" fillId="2" fontId="1" numFmtId="49" xfId="0" applyAlignment="1" applyBorder="1" applyFont="1" applyNumberFormat="1">
      <alignment horizontal="left"/>
    </xf>
    <xf borderId="2" fillId="2" fontId="1" numFmtId="0" xfId="0" applyAlignment="1" applyBorder="1" applyFont="1">
      <alignment horizontal="right"/>
    </xf>
    <xf borderId="2" fillId="2" fontId="1" numFmtId="49" xfId="0" applyAlignment="1" applyBorder="1" applyFont="1" applyNumberFormat="1">
      <alignment horizontal="center"/>
    </xf>
    <xf borderId="43" fillId="0" fontId="2" numFmtId="0" xfId="0" applyAlignment="1" applyBorder="1" applyFont="1">
      <alignment horizontal="left"/>
    </xf>
    <xf borderId="44" fillId="0" fontId="2" numFmtId="0" xfId="0" applyAlignment="1" applyBorder="1" applyFont="1">
      <alignment horizontal="left"/>
    </xf>
    <xf borderId="44" fillId="0" fontId="1" numFmtId="49" xfId="0" applyAlignment="1" applyBorder="1" applyFont="1" applyNumberFormat="1">
      <alignment horizontal="left"/>
    </xf>
    <xf borderId="44" fillId="0" fontId="1" numFmtId="0" xfId="0" applyAlignment="1" applyBorder="1" applyFont="1">
      <alignment horizontal="right"/>
    </xf>
    <xf borderId="43" fillId="0" fontId="1" numFmtId="0" xfId="0" applyAlignment="1" applyBorder="1" applyFont="1">
      <alignment horizontal="right"/>
    </xf>
    <xf borderId="44" fillId="0" fontId="2" numFmtId="0" xfId="0" applyAlignment="1" applyBorder="1" applyFont="1">
      <alignment horizontal="center"/>
    </xf>
    <xf borderId="44" fillId="0" fontId="1" numFmtId="49" xfId="0" applyAlignment="1" applyBorder="1" applyFont="1" applyNumberFormat="1">
      <alignment horizontal="center"/>
    </xf>
    <xf borderId="45" fillId="0" fontId="2" numFmtId="49" xfId="0" applyAlignment="1" applyBorder="1" applyFont="1" applyNumberFormat="1">
      <alignment horizontal="center"/>
    </xf>
    <xf borderId="2" fillId="3" fontId="43" numFmtId="0" xfId="0" applyAlignment="1" applyBorder="1" applyFont="1">
      <alignment horizontal="left"/>
    </xf>
    <xf borderId="12" fillId="0" fontId="1" numFmtId="0" xfId="0" applyAlignment="1" applyBorder="1" applyFont="1">
      <alignment horizontal="right"/>
    </xf>
    <xf borderId="46" fillId="0" fontId="1" numFmtId="0" xfId="0" applyAlignment="1" applyBorder="1" applyFont="1">
      <alignment horizontal="right"/>
    </xf>
    <xf borderId="47" fillId="0" fontId="44" numFmtId="0" xfId="0" applyBorder="1" applyFont="1"/>
    <xf borderId="48" fillId="0" fontId="2" numFmtId="0" xfId="0" applyBorder="1" applyFont="1"/>
    <xf borderId="48" fillId="0" fontId="1" numFmtId="49" xfId="0" applyAlignment="1" applyBorder="1" applyFont="1" applyNumberFormat="1">
      <alignment horizontal="left"/>
    </xf>
    <xf borderId="48" fillId="0" fontId="1" numFmtId="0" xfId="0" applyAlignment="1" applyBorder="1" applyFont="1">
      <alignment horizontal="right"/>
    </xf>
    <xf borderId="47" fillId="0" fontId="1" numFmtId="0" xfId="0" applyAlignment="1" applyBorder="1" applyFont="1">
      <alignment horizontal="right"/>
    </xf>
    <xf borderId="48" fillId="0" fontId="2" numFmtId="177" xfId="0" applyAlignment="1" applyBorder="1" applyFont="1" applyNumberFormat="1">
      <alignment horizontal="right"/>
    </xf>
    <xf borderId="47" fillId="0" fontId="2" numFmtId="0" xfId="0" applyBorder="1" applyFont="1"/>
    <xf borderId="49" fillId="0" fontId="2" numFmtId="177" xfId="0" applyBorder="1" applyFont="1" applyNumberFormat="1"/>
    <xf borderId="50" fillId="0" fontId="2" numFmtId="0" xfId="0" applyBorder="1" applyFont="1"/>
    <xf borderId="51" fillId="3" fontId="43" numFmtId="0" xfId="0" applyAlignment="1" applyBorder="1" applyFont="1">
      <alignment horizontal="left"/>
    </xf>
    <xf borderId="52" fillId="3" fontId="43" numFmtId="0" xfId="0" applyAlignment="1" applyBorder="1" applyFont="1">
      <alignment horizontal="left"/>
    </xf>
    <xf borderId="0" fillId="0" fontId="2" numFmtId="177" xfId="0" applyAlignment="1" applyFont="1" applyNumberFormat="1">
      <alignment horizontal="left"/>
    </xf>
    <xf borderId="4" fillId="0" fontId="2" numFmtId="177" xfId="0" applyBorder="1" applyFont="1" applyNumberFormat="1"/>
    <xf borderId="1" fillId="0" fontId="2" numFmtId="177" xfId="0" applyBorder="1" applyFont="1" applyNumberFormat="1"/>
    <xf borderId="13" fillId="0" fontId="2" numFmtId="173" xfId="0" applyBorder="1" applyFont="1" applyNumberFormat="1"/>
    <xf borderId="14" fillId="0" fontId="2" numFmtId="177" xfId="0" applyAlignment="1" applyBorder="1" applyFont="1" applyNumberFormat="1">
      <alignment horizontal="right"/>
    </xf>
    <xf borderId="8" fillId="0" fontId="2" numFmtId="177" xfId="0" applyAlignment="1" applyBorder="1" applyFont="1" applyNumberFormat="1">
      <alignment horizontal="right"/>
    </xf>
    <xf borderId="14" fillId="0" fontId="2" numFmtId="177" xfId="0" applyBorder="1" applyFont="1" applyNumberFormat="1"/>
    <xf borderId="13" fillId="0" fontId="2" numFmtId="178" xfId="0" applyBorder="1" applyFont="1" applyNumberFormat="1"/>
    <xf borderId="43" fillId="0" fontId="2" numFmtId="0" xfId="0" applyBorder="1" applyFont="1"/>
    <xf borderId="44" fillId="0" fontId="2" numFmtId="177" xfId="0" applyAlignment="1" applyBorder="1" applyFont="1" applyNumberFormat="1">
      <alignment horizontal="right"/>
    </xf>
    <xf borderId="45" fillId="0" fontId="2" numFmtId="177" xfId="0" applyBorder="1" applyFont="1" applyNumberFormat="1"/>
    <xf borderId="0" fillId="0" fontId="2" numFmtId="177" xfId="0" applyFont="1" applyNumberFormat="1"/>
    <xf borderId="1" fillId="0" fontId="2" numFmtId="177" xfId="0" applyAlignment="1" applyBorder="1" applyFont="1" applyNumberFormat="1">
      <alignment horizontal="right"/>
    </xf>
    <xf borderId="47" fillId="0" fontId="2" numFmtId="0" xfId="0" applyAlignment="1" applyBorder="1" applyFont="1">
      <alignment horizontal="left"/>
    </xf>
    <xf borderId="51" fillId="3" fontId="43" numFmtId="0" xfId="0" applyBorder="1" applyFont="1"/>
    <xf borderId="53" fillId="0" fontId="2" numFmtId="177" xfId="0" applyBorder="1" applyFont="1" applyNumberFormat="1"/>
    <xf borderId="47" fillId="0" fontId="8" numFmtId="0" xfId="0" applyBorder="1" applyFont="1"/>
    <xf borderId="2" fillId="2" fontId="45" numFmtId="0" xfId="0" applyBorder="1" applyFont="1"/>
    <xf borderId="2" fillId="2" fontId="5" numFmtId="49" xfId="0" applyAlignment="1" applyBorder="1" applyFont="1" applyNumberFormat="1">
      <alignment horizontal="left"/>
    </xf>
    <xf borderId="2" fillId="2" fontId="5" numFmtId="0" xfId="0" applyAlignment="1" applyBorder="1" applyFont="1">
      <alignment horizontal="right"/>
    </xf>
    <xf borderId="0" fillId="0" fontId="5" numFmtId="49" xfId="0" applyAlignment="1" applyFont="1" applyNumberFormat="1">
      <alignment horizontal="center"/>
    </xf>
    <xf borderId="43" fillId="0" fontId="1" numFmtId="49" xfId="0" applyAlignment="1" applyBorder="1" applyFont="1" applyNumberFormat="1">
      <alignment horizontal="center"/>
    </xf>
    <xf borderId="50" fillId="0" fontId="2" numFmtId="0" xfId="0" applyAlignment="1" applyBorder="1" applyFont="1">
      <alignment horizontal="left"/>
    </xf>
    <xf borderId="47" fillId="0" fontId="1" numFmtId="49" xfId="0" applyAlignment="1" applyBorder="1" applyFont="1" applyNumberFormat="1">
      <alignment horizontal="center"/>
    </xf>
    <xf borderId="0" fillId="0" fontId="46" numFmtId="164" xfId="0" applyFont="1" applyNumberFormat="1"/>
    <xf borderId="2" fillId="3" fontId="47" numFmtId="0" xfId="0" applyBorder="1" applyFont="1"/>
    <xf borderId="2" fillId="3" fontId="48" numFmtId="0" xfId="0" applyBorder="1" applyFont="1"/>
    <xf borderId="0" fillId="0" fontId="49" numFmtId="49" xfId="0" applyAlignment="1" applyFont="1" applyNumberFormat="1">
      <alignment horizontal="left"/>
    </xf>
    <xf borderId="0" fillId="0" fontId="49" numFmtId="0" xfId="0" applyAlignment="1" applyFont="1">
      <alignment horizontal="right"/>
    </xf>
    <xf borderId="0" fillId="0" fontId="50" numFmtId="49" xfId="0" applyAlignment="1" applyFont="1" applyNumberFormat="1">
      <alignment horizontal="center"/>
    </xf>
    <xf borderId="0" fillId="0" fontId="1" numFmtId="164" xfId="0" applyFont="1" applyNumberFormat="1"/>
    <xf borderId="24" fillId="7" fontId="2" numFmtId="164" xfId="0" applyAlignment="1" applyBorder="1" applyFont="1" applyNumberFormat="1">
      <alignment horizontal="left" shrinkToFit="0" wrapText="1"/>
    </xf>
    <xf borderId="0" fillId="0" fontId="51" numFmtId="0" xfId="0" applyFont="1"/>
    <xf borderId="54" fillId="0" fontId="3" numFmtId="0" xfId="0" applyBorder="1" applyFont="1"/>
    <xf borderId="55" fillId="0" fontId="3" numFmtId="0" xfId="0" applyBorder="1" applyFont="1"/>
    <xf borderId="0" fillId="0" fontId="2" numFmtId="164" xfId="0" applyAlignment="1" applyFont="1" applyNumberFormat="1">
      <alignment horizontal="left" shrinkToFit="0" wrapText="1"/>
    </xf>
    <xf borderId="0" fillId="0" fontId="2" numFmtId="4" xfId="0" applyFont="1" applyNumberFormat="1"/>
    <xf borderId="0" fillId="0" fontId="52" numFmtId="0" xfId="0" applyFont="1"/>
    <xf borderId="15" fillId="0" fontId="2" numFmtId="174" xfId="0" applyBorder="1" applyFont="1" applyNumberFormat="1"/>
    <xf borderId="16" fillId="0" fontId="2" numFmtId="174" xfId="0" applyBorder="1" applyFont="1" applyNumberFormat="1"/>
    <xf borderId="12" fillId="0" fontId="2" numFmtId="174" xfId="0" applyBorder="1" applyFont="1" applyNumberFormat="1"/>
    <xf borderId="0" fillId="0" fontId="2" numFmtId="178" xfId="0" applyFont="1" applyNumberFormat="1"/>
    <xf borderId="2" fillId="3" fontId="2" numFmtId="0" xfId="0" applyAlignment="1" applyBorder="1" applyFont="1">
      <alignment horizontal="center"/>
    </xf>
    <xf borderId="8" fillId="0" fontId="2" numFmtId="39" xfId="0" applyBorder="1" applyFont="1" applyNumberFormat="1"/>
    <xf borderId="0" fillId="0" fontId="2" numFmtId="0" xfId="0" applyAlignment="1" applyFont="1">
      <alignment shrinkToFit="0" vertical="center" wrapText="1"/>
    </xf>
    <xf borderId="0" fillId="0" fontId="2" numFmtId="0" xfId="0" applyAlignment="1" applyFont="1">
      <alignment horizontal="center" shrinkToFit="0" vertical="center" wrapText="1"/>
    </xf>
    <xf borderId="0" fillId="0" fontId="42" numFmtId="0" xfId="0" applyAlignment="1" applyFont="1">
      <alignment horizontal="right"/>
    </xf>
    <xf borderId="0" fillId="0" fontId="42" numFmtId="39" xfId="0" applyFont="1" applyNumberFormat="1"/>
    <xf borderId="0" fillId="0" fontId="42" numFmtId="0" xfId="0" applyAlignment="1" applyFont="1">
      <alignment horizontal="center"/>
    </xf>
    <xf borderId="24" fillId="7" fontId="2" numFmtId="0" xfId="0" applyAlignment="1" applyBorder="1" applyFont="1">
      <alignment horizontal="left" shrinkToFit="0" wrapText="1"/>
    </xf>
    <xf borderId="2" fillId="2" fontId="53" numFmtId="164" xfId="0" applyBorder="1" applyFont="1" applyNumberFormat="1"/>
    <xf borderId="5" fillId="3" fontId="42" numFmtId="0" xfId="0" applyAlignment="1" applyBorder="1" applyFont="1">
      <alignment horizontal="center"/>
    </xf>
    <xf borderId="56" fillId="0" fontId="2" numFmtId="0" xfId="0" applyBorder="1" applyFont="1"/>
    <xf borderId="56" fillId="0" fontId="1" numFmtId="0" xfId="0" applyBorder="1" applyFont="1"/>
    <xf borderId="0" fillId="0" fontId="1" numFmtId="0" xfId="0" applyAlignment="1" applyFont="1">
      <alignment horizontal="center" shrinkToFit="0" wrapText="1"/>
    </xf>
    <xf borderId="0" fillId="0" fontId="2" numFmtId="0" xfId="0" applyAlignment="1" applyFont="1">
      <alignment horizontal="center" shrinkToFit="0" vertical="top" wrapText="1"/>
    </xf>
    <xf borderId="0" fillId="0" fontId="2" numFmtId="179" xfId="0" applyAlignment="1" applyFont="1" applyNumberFormat="1">
      <alignment horizontal="center"/>
    </xf>
    <xf borderId="0" fillId="0" fontId="1" numFmtId="179" xfId="0" applyAlignment="1" applyFont="1" applyNumberFormat="1">
      <alignment horizontal="center" shrinkToFit="0" vertical="top" wrapText="1"/>
    </xf>
    <xf borderId="0" fillId="0" fontId="1" numFmtId="179" xfId="0" applyAlignment="1" applyFont="1" applyNumberFormat="1">
      <alignment horizontal="center"/>
    </xf>
    <xf borderId="0" fillId="0" fontId="2" numFmtId="179" xfId="0" applyFont="1" applyNumberFormat="1"/>
    <xf borderId="0" fillId="0" fontId="1" numFmtId="0" xfId="0" applyAlignment="1" applyFont="1">
      <alignment horizontal="left" shrinkToFit="0" vertical="top" wrapText="1"/>
    </xf>
    <xf borderId="0" fillId="0" fontId="2" numFmtId="179" xfId="0" applyAlignment="1" applyFont="1" applyNumberFormat="1">
      <alignment shrinkToFit="0" vertical="top" wrapText="1"/>
    </xf>
    <xf borderId="0" fillId="0" fontId="1" numFmtId="179" xfId="0" applyAlignment="1" applyFont="1" applyNumberFormat="1">
      <alignment shrinkToFit="0" vertical="top" wrapText="1"/>
    </xf>
    <xf borderId="56" fillId="0" fontId="1" numFmtId="0" xfId="0" applyAlignment="1" applyBorder="1" applyFont="1">
      <alignment horizontal="left" shrinkToFit="0" vertical="top" wrapText="1"/>
    </xf>
    <xf borderId="56" fillId="0" fontId="2" numFmtId="179" xfId="0" applyBorder="1" applyFont="1" applyNumberFormat="1"/>
    <xf borderId="56" fillId="0" fontId="2" numFmtId="179" xfId="0" applyAlignment="1" applyBorder="1" applyFont="1" applyNumberFormat="1">
      <alignment horizontal="center"/>
    </xf>
    <xf borderId="56" fillId="0" fontId="1" numFmtId="179" xfId="0" applyAlignment="1" applyBorder="1" applyFont="1" applyNumberFormat="1">
      <alignment horizontal="center"/>
    </xf>
    <xf borderId="0" fillId="0" fontId="1" numFmtId="0" xfId="0" applyAlignment="1" applyFont="1">
      <alignment horizontal="center" shrinkToFit="0" vertical="center" wrapText="1"/>
    </xf>
    <xf borderId="0" fillId="0" fontId="2" numFmtId="177" xfId="0" applyAlignment="1" applyFont="1" applyNumberFormat="1">
      <alignment horizontal="center"/>
    </xf>
    <xf borderId="0" fillId="0" fontId="1" numFmtId="179" xfId="0" applyAlignment="1" applyFont="1" applyNumberFormat="1">
      <alignment horizontal="center" shrinkToFit="0" wrapText="1"/>
    </xf>
    <xf borderId="0" fillId="0" fontId="1" numFmtId="0" xfId="0" applyAlignment="1" applyFont="1">
      <alignment shrinkToFit="0" vertical="top" wrapText="1"/>
    </xf>
    <xf borderId="0" fillId="0" fontId="2" numFmtId="175" xfId="0" applyAlignment="1" applyFont="1" applyNumberFormat="1">
      <alignment horizontal="left"/>
    </xf>
    <xf borderId="0" fillId="0" fontId="2" numFmtId="179" xfId="0" applyAlignment="1" applyFont="1" applyNumberFormat="1">
      <alignment horizontal="right"/>
    </xf>
    <xf borderId="0" fillId="0" fontId="1" numFmtId="0" xfId="0" applyAlignment="1" applyFont="1">
      <alignment shrinkToFit="0" vertical="center" wrapText="1"/>
    </xf>
    <xf borderId="0" fillId="0" fontId="2" numFmtId="180" xfId="0" applyFont="1" applyNumberFormat="1"/>
    <xf borderId="0" fillId="0" fontId="1" numFmtId="175" xfId="0" applyAlignment="1" applyFont="1" applyNumberFormat="1">
      <alignment horizontal="left"/>
    </xf>
    <xf borderId="0" fillId="0" fontId="1" numFmtId="180" xfId="0" applyAlignment="1" applyFont="1" applyNumberFormat="1">
      <alignment horizontal="left"/>
    </xf>
    <xf borderId="0" fillId="0" fontId="2" numFmtId="180" xfId="0" applyAlignment="1" applyFont="1" applyNumberFormat="1">
      <alignment horizontal="left"/>
    </xf>
    <xf borderId="0" fillId="0" fontId="1" numFmtId="2" xfId="0" applyFont="1" applyNumberFormat="1"/>
    <xf borderId="56" fillId="0" fontId="1" numFmtId="0" xfId="0" applyAlignment="1" applyBorder="1" applyFont="1">
      <alignment horizontal="center" shrinkToFit="0" vertical="top" wrapText="1"/>
    </xf>
    <xf borderId="0" fillId="0" fontId="2" numFmtId="179" xfId="0" applyAlignment="1" applyFont="1" applyNumberFormat="1">
      <alignment horizontal="left"/>
    </xf>
    <xf borderId="56" fillId="0" fontId="2" numFmtId="180" xfId="0" applyAlignment="1" applyBorder="1" applyFont="1" applyNumberFormat="1">
      <alignment horizontal="left"/>
    </xf>
    <xf borderId="56" fillId="0" fontId="2" numFmtId="0" xfId="0" applyAlignment="1" applyBorder="1" applyFont="1">
      <alignment horizontal="right"/>
    </xf>
    <xf borderId="0" fillId="0" fontId="7" numFmtId="0" xfId="0" applyAlignment="1" applyFont="1">
      <alignment horizontal="center" shrinkToFit="0" vertical="top" wrapText="1"/>
    </xf>
    <xf borderId="0" fillId="0" fontId="7" numFmtId="0" xfId="0" applyAlignment="1" applyFont="1">
      <alignment horizontal="center" vertical="top"/>
    </xf>
    <xf borderId="0" fillId="0" fontId="54" numFmtId="0" xfId="0" applyAlignment="1" applyFont="1">
      <alignment horizontal="center" vertical="top"/>
    </xf>
    <xf borderId="0" fillId="0" fontId="55" numFmtId="0" xfId="0" applyAlignment="1" applyFont="1">
      <alignment horizontal="center" shrinkToFit="0" vertical="top" wrapText="1"/>
    </xf>
    <xf borderId="2" fillId="4" fontId="56" numFmtId="0" xfId="0" applyAlignment="1" applyBorder="1" applyFont="1">
      <alignment horizontal="center" shrinkToFit="0" vertical="top" wrapText="1"/>
    </xf>
    <xf borderId="2" fillId="4" fontId="2" numFmtId="0" xfId="0" applyAlignment="1" applyBorder="1" applyFont="1">
      <alignment horizontal="center" shrinkToFit="0" vertical="top" wrapText="1"/>
    </xf>
    <xf borderId="2" fillId="4" fontId="2" numFmtId="0" xfId="0" applyAlignment="1" applyBorder="1" applyFont="1">
      <alignment shrinkToFit="0" vertical="top" wrapText="1"/>
    </xf>
    <xf borderId="0" fillId="0" fontId="8" numFmtId="0" xfId="0" applyAlignment="1" applyFont="1">
      <alignment horizontal="center" vertical="top"/>
    </xf>
    <xf borderId="0" fillId="0" fontId="57" numFmtId="0" xfId="0" applyAlignment="1" applyFont="1">
      <alignment shrinkToFit="0" vertical="top" wrapText="1"/>
    </xf>
    <xf borderId="2" fillId="4" fontId="58" numFmtId="0" xfId="0" applyAlignment="1" applyBorder="1" applyFont="1">
      <alignment horizontal="center" vertical="top"/>
    </xf>
    <xf borderId="0" fillId="0" fontId="48" numFmtId="0" xfId="0" applyAlignment="1" applyFont="1">
      <alignment shrinkToFit="0" vertical="top" wrapText="1"/>
    </xf>
    <xf borderId="2" fillId="3" fontId="59" numFmtId="0" xfId="0" applyAlignment="1" applyBorder="1" applyFont="1">
      <alignment horizontal="center" vertical="top"/>
    </xf>
    <xf borderId="2" fillId="3" fontId="2" numFmtId="0" xfId="0" applyAlignment="1" applyBorder="1" applyFont="1">
      <alignment horizontal="center" shrinkToFit="0" vertical="top" wrapText="1"/>
    </xf>
    <xf borderId="2" fillId="3" fontId="2" numFmtId="0" xfId="0" applyAlignment="1" applyBorder="1" applyFont="1">
      <alignment shrinkToFit="0" vertical="top" wrapText="1"/>
    </xf>
    <xf borderId="2" fillId="3" fontId="48" numFmtId="0" xfId="0" applyAlignment="1" applyBorder="1" applyFont="1">
      <alignment shrinkToFit="0" vertical="top" wrapText="1"/>
    </xf>
    <xf borderId="2" fillId="4" fontId="47" numFmtId="0" xfId="0" applyAlignment="1" applyBorder="1" applyFont="1">
      <alignment shrinkToFit="0" vertical="top" wrapText="1"/>
    </xf>
    <xf borderId="0" fillId="0" fontId="2" numFmtId="0" xfId="0" applyAlignment="1" applyFont="1">
      <alignment horizontal="center" vertical="top"/>
    </xf>
  </cellXfs>
  <cellStyles count="1">
    <cellStyle xfId="0" name="Normal" builtinId="0"/>
  </cellStyles>
  <dxfs count="3">
    <dxf>
      <font/>
      <fill>
        <patternFill patternType="none"/>
      </fill>
      <border/>
    </dxf>
    <dxf>
      <font>
        <b/>
        <color rgb="FFFF0000"/>
      </font>
      <fill>
        <patternFill patternType="none"/>
      </fill>
      <border/>
    </dxf>
    <dxf>
      <font/>
      <fill>
        <patternFill patternType="solid">
          <fgColor rgb="FFFFC000"/>
          <bgColor rgb="FFFFC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Pg1General"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476250</xdr:colOff>
      <xdr:row>7</xdr:row>
      <xdr:rowOff>0</xdr:rowOff>
    </xdr:from>
    <xdr:ext cx="1381125" cy="371475"/>
    <xdr:sp>
      <xdr:nvSpPr>
        <xdr:cNvPr id="3" name="Shape 3">
          <a:hlinkClick r:id="rId1"/>
        </xdr:cNvPr>
        <xdr:cNvSpPr/>
      </xdr:nvSpPr>
      <xdr:spPr>
        <a:xfrm>
          <a:off x="4655438" y="3594263"/>
          <a:ext cx="1381125" cy="371475"/>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rtl="0" algn="ctr">
            <a:spcBef>
              <a:spcPts val="0"/>
            </a:spcBef>
            <a:spcAft>
              <a:spcPts val="0"/>
            </a:spcAft>
            <a:buNone/>
          </a:pPr>
          <a:r>
            <a:rPr lang="en-US" sz="1100"/>
            <a:t>Instructions</a:t>
          </a:r>
          <a:endParaRPr sz="1400"/>
        </a:p>
        <a:p>
          <a:pPr indent="0" lvl="0" marL="0" rtl="0" algn="ctr">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xdr:row>
      <xdr:rowOff>0</xdr:rowOff>
    </xdr:from>
    <xdr:ext cx="1447800" cy="323850"/>
    <xdr:sp>
      <xdr:nvSpPr>
        <xdr:cNvPr id="4" name="Shape 4">
          <a:hlinkClick r:id="rId1"/>
        </xdr:cNvPr>
        <xdr:cNvSpPr/>
      </xdr:nvSpPr>
      <xdr:spPr>
        <a:xfrm>
          <a:off x="4622100" y="3618075"/>
          <a:ext cx="1447800" cy="323850"/>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rtl="0" algn="ctr">
            <a:spcBef>
              <a:spcPts val="0"/>
            </a:spcBef>
            <a:spcAft>
              <a:spcPts val="0"/>
            </a:spcAft>
            <a:buNone/>
          </a:pPr>
          <a:r>
            <a:rPr lang="en-US" sz="1100"/>
            <a:t>Instructions</a:t>
          </a:r>
          <a:endParaRPr sz="1400"/>
        </a:p>
        <a:p>
          <a:pPr indent="0" lvl="0" marL="0" rtl="0" algn="ctr">
            <a:spcBef>
              <a:spcPts val="0"/>
            </a:spcBef>
            <a:spcAft>
              <a:spcPts val="0"/>
            </a:spcAft>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1914525</xdr:colOff>
      <xdr:row>3</xdr:row>
      <xdr:rowOff>0</xdr:rowOff>
    </xdr:from>
    <xdr:ext cx="1647825" cy="304800"/>
    <xdr:sp>
      <xdr:nvSpPr>
        <xdr:cNvPr id="5" name="Shape 5">
          <a:hlinkClick r:id="rId1"/>
        </xdr:cNvPr>
        <xdr:cNvSpPr/>
      </xdr:nvSpPr>
      <xdr:spPr>
        <a:xfrm>
          <a:off x="4526850" y="3627600"/>
          <a:ext cx="1638300" cy="304800"/>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rtl="0" algn="ctr">
            <a:spcBef>
              <a:spcPts val="0"/>
            </a:spcBef>
            <a:spcAft>
              <a:spcPts val="0"/>
            </a:spcAft>
            <a:buNone/>
          </a:pPr>
          <a:r>
            <a:rPr lang="en-US" sz="1100"/>
            <a:t>Instructions</a:t>
          </a:r>
          <a:endParaRPr sz="1400"/>
        </a:p>
        <a:p>
          <a:pPr indent="0" lvl="0" marL="0" rtl="0" algn="ctr">
            <a:spcBef>
              <a:spcPts val="0"/>
            </a:spcBef>
            <a:spcAft>
              <a:spcPts val="0"/>
            </a:spcAft>
            <a:buNone/>
          </a:pPr>
          <a:r>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xdr:row>
      <xdr:rowOff>76200</xdr:rowOff>
    </xdr:from>
    <xdr:ext cx="2914650" cy="228600"/>
    <xdr:sp>
      <xdr:nvSpPr>
        <xdr:cNvPr id="6" name="Shape 6">
          <a:hlinkClick r:id="rId1"/>
        </xdr:cNvPr>
        <xdr:cNvSpPr/>
      </xdr:nvSpPr>
      <xdr:spPr>
        <a:xfrm>
          <a:off x="3888675" y="3665700"/>
          <a:ext cx="2914650" cy="228600"/>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marR="0" rtl="0" algn="ctr">
            <a:lnSpc>
              <a:spcPct val="100000"/>
            </a:lnSpc>
            <a:spcBef>
              <a:spcPts val="0"/>
            </a:spcBef>
            <a:spcAft>
              <a:spcPts val="0"/>
            </a:spcAft>
            <a:buClr>
              <a:srgbClr val="000000"/>
            </a:buClr>
            <a:buSzPts val="1100"/>
            <a:buFont typeface="Arial"/>
            <a:buNone/>
          </a:pPr>
          <a:r>
            <a:rPr b="0" i="0" lang="en-US" sz="1100" u="none" cap="none" strike="noStrike">
              <a:solidFill>
                <a:srgbClr val="000000"/>
              </a:solidFill>
            </a:rPr>
            <a:t>Instructions</a:t>
          </a:r>
          <a:endParaRPr sz="1400"/>
        </a:p>
        <a:p>
          <a:pPr indent="0" lvl="0" marL="0" marR="0" rtl="0" algn="ctr">
            <a:lnSpc>
              <a:spcPct val="100000"/>
            </a:lnSpc>
            <a:spcBef>
              <a:spcPts val="0"/>
            </a:spcBef>
            <a:spcAft>
              <a:spcPts val="0"/>
            </a:spcAft>
            <a:buSzPts val="1100"/>
            <a:buFont typeface="Arial"/>
            <a:buNone/>
          </a:pPr>
          <a:r>
            <a:t/>
          </a:r>
          <a:endParaRPr b="0" i="0" sz="1100" u="none" cap="none" strike="noStrike">
            <a:solidFill>
              <a:srgbClr val="000000"/>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2114550</xdr:colOff>
      <xdr:row>4</xdr:row>
      <xdr:rowOff>0</xdr:rowOff>
    </xdr:from>
    <xdr:ext cx="1238250" cy="323850"/>
    <xdr:sp>
      <xdr:nvSpPr>
        <xdr:cNvPr id="7" name="Shape 7">
          <a:hlinkClick r:id="rId1"/>
        </xdr:cNvPr>
        <xdr:cNvSpPr/>
      </xdr:nvSpPr>
      <xdr:spPr>
        <a:xfrm>
          <a:off x="4726875" y="3618075"/>
          <a:ext cx="1238250" cy="323850"/>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marR="0" rtl="0" algn="ctr">
            <a:lnSpc>
              <a:spcPct val="100000"/>
            </a:lnSpc>
            <a:spcBef>
              <a:spcPts val="0"/>
            </a:spcBef>
            <a:spcAft>
              <a:spcPts val="0"/>
            </a:spcAft>
            <a:buClr>
              <a:srgbClr val="000000"/>
            </a:buClr>
            <a:buSzPts val="1100"/>
            <a:buFont typeface="Arial"/>
            <a:buNone/>
          </a:pPr>
          <a:r>
            <a:rPr b="0" i="0" lang="en-US" sz="1100" u="none" cap="none" strike="noStrike">
              <a:solidFill>
                <a:srgbClr val="000000"/>
              </a:solidFill>
            </a:rPr>
            <a:t>Instructions</a:t>
          </a:r>
          <a:endParaRPr sz="1400"/>
        </a:p>
        <a:p>
          <a:pPr indent="0" lvl="0" marL="0" marR="0" rtl="0" algn="ctr">
            <a:lnSpc>
              <a:spcPct val="100000"/>
            </a:lnSpc>
            <a:spcBef>
              <a:spcPts val="0"/>
            </a:spcBef>
            <a:spcAft>
              <a:spcPts val="0"/>
            </a:spcAft>
            <a:buSzPts val="1100"/>
            <a:buFont typeface="Arial"/>
            <a:buNone/>
          </a:pPr>
          <a:r>
            <a:t/>
          </a:r>
          <a:endParaRPr b="0" i="0" sz="1100" u="none" cap="none" strike="noStrike">
            <a:solidFill>
              <a:srgbClr val="0000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247650</xdr:colOff>
      <xdr:row>3</xdr:row>
      <xdr:rowOff>0</xdr:rowOff>
    </xdr:from>
    <xdr:ext cx="2028825" cy="485775"/>
    <xdr:sp>
      <xdr:nvSpPr>
        <xdr:cNvPr id="8" name="Shape 8">
          <a:hlinkClick r:id="rId1"/>
        </xdr:cNvPr>
        <xdr:cNvSpPr/>
      </xdr:nvSpPr>
      <xdr:spPr>
        <a:xfrm>
          <a:off x="4336350" y="3537113"/>
          <a:ext cx="2019300" cy="485775"/>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marR="0" rtl="0" algn="ctr">
            <a:lnSpc>
              <a:spcPct val="100000"/>
            </a:lnSpc>
            <a:spcBef>
              <a:spcPts val="0"/>
            </a:spcBef>
            <a:spcAft>
              <a:spcPts val="0"/>
            </a:spcAft>
            <a:buClr>
              <a:srgbClr val="000000"/>
            </a:buClr>
            <a:buSzPts val="1100"/>
            <a:buFont typeface="Arial"/>
            <a:buNone/>
          </a:pPr>
          <a:r>
            <a:rPr b="0" i="0" lang="en-US" sz="1100" u="none" cap="none" strike="noStrike">
              <a:solidFill>
                <a:srgbClr val="000000"/>
              </a:solidFill>
            </a:rPr>
            <a:t>Instructions</a:t>
          </a:r>
          <a:endParaRPr sz="1400"/>
        </a:p>
        <a:p>
          <a:pPr indent="0" lvl="0" marL="0" marR="0" rtl="0" algn="ctr">
            <a:lnSpc>
              <a:spcPct val="100000"/>
            </a:lnSpc>
            <a:spcBef>
              <a:spcPts val="0"/>
            </a:spcBef>
            <a:spcAft>
              <a:spcPts val="0"/>
            </a:spcAft>
            <a:buSzPts val="1100"/>
            <a:buFont typeface="Arial"/>
            <a:buNone/>
          </a:pPr>
          <a:r>
            <a:t/>
          </a:r>
          <a:endParaRPr b="0" i="0" sz="1100" u="none" cap="none" strike="noStrike">
            <a:solidFill>
              <a:srgbClr val="000000"/>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76200</xdr:rowOff>
    </xdr:from>
    <xdr:ext cx="2647950" cy="228600"/>
    <xdr:sp>
      <xdr:nvSpPr>
        <xdr:cNvPr id="9" name="Shape 9">
          <a:hlinkClick r:id="rId1"/>
        </xdr:cNvPr>
        <xdr:cNvSpPr/>
      </xdr:nvSpPr>
      <xdr:spPr>
        <a:xfrm>
          <a:off x="4022025" y="3670463"/>
          <a:ext cx="2647950" cy="219075"/>
        </a:xfrm>
        <a:prstGeom prst="rect">
          <a:avLst/>
        </a:prstGeom>
        <a:solidFill>
          <a:srgbClr val="00B0F0"/>
        </a:solidFill>
        <a:ln cap="flat" cmpd="sng" w="9525">
          <a:solidFill>
            <a:srgbClr val="BCBCBC"/>
          </a:solidFill>
          <a:prstDash val="solid"/>
          <a:round/>
          <a:headEnd len="sm" w="sm" type="none"/>
          <a:tailEnd len="sm" w="sm" type="none"/>
        </a:ln>
      </xdr:spPr>
      <xdr:txBody>
        <a:bodyPr anchorCtr="0" anchor="ctr" bIns="0" lIns="18275" spcFirstLastPara="1" rIns="0" wrap="square" tIns="0">
          <a:noAutofit/>
        </a:bodyPr>
        <a:lstStyle/>
        <a:p>
          <a:pPr indent="0" lvl="0" marL="0" marR="0" rtl="0" algn="ctr">
            <a:lnSpc>
              <a:spcPct val="100000"/>
            </a:lnSpc>
            <a:spcBef>
              <a:spcPts val="0"/>
            </a:spcBef>
            <a:spcAft>
              <a:spcPts val="0"/>
            </a:spcAft>
            <a:buClr>
              <a:srgbClr val="000000"/>
            </a:buClr>
            <a:buSzPts val="1100"/>
            <a:buFont typeface="Arial"/>
            <a:buNone/>
          </a:pPr>
          <a:r>
            <a:rPr b="0" i="0" lang="en-US" sz="1100" u="none" cap="none" strike="noStrike">
              <a:solidFill>
                <a:srgbClr val="000000"/>
              </a:solidFill>
            </a:rPr>
            <a:t>Instructions</a:t>
          </a:r>
          <a:endParaRPr sz="1400"/>
        </a:p>
        <a:p>
          <a:pPr indent="0" lvl="0" marL="0" marR="0" rtl="0" algn="ctr">
            <a:lnSpc>
              <a:spcPct val="100000"/>
            </a:lnSpc>
            <a:spcBef>
              <a:spcPts val="0"/>
            </a:spcBef>
            <a:spcAft>
              <a:spcPts val="0"/>
            </a:spcAft>
            <a:buSzPts val="1100"/>
            <a:buFont typeface="Arial"/>
            <a:buNone/>
          </a:pPr>
          <a:r>
            <a:t/>
          </a:r>
          <a:endParaRPr b="0" i="0" sz="1100" u="none" cap="none" strike="noStrike">
            <a:solidFill>
              <a:srgbClr val="000000"/>
            </a:solidFil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tcrisler@crislerbusinessservices.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dcharns@wsst.school" TargetMode="External"/><Relationship Id="rId2" Type="http://schemas.openxmlformats.org/officeDocument/2006/relationships/hyperlink" Target="http://www.western.cfacademy.school/"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azed.gov/mowr/" TargetMode="External"/><Relationship Id="rId2"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38"/>
    <col customWidth="1" min="2" max="2" width="5.38"/>
    <col customWidth="1" min="3" max="3" width="4.63"/>
    <col customWidth="1" min="4" max="4" width="8.38"/>
    <col customWidth="1" min="5" max="5" width="5.38"/>
    <col customWidth="1" min="6" max="6" width="11.38"/>
    <col customWidth="1" min="7" max="7" width="6.63"/>
    <col customWidth="1" min="8" max="8" width="3.0"/>
    <col customWidth="1" min="9" max="9" width="11.38"/>
    <col customWidth="1" min="10" max="10" width="15.0"/>
    <col customWidth="1" min="11" max="11" width="9.38"/>
    <col customWidth="1" min="12" max="12" width="9.63"/>
    <col customWidth="1" min="13" max="13" width="9.38"/>
    <col customWidth="1" min="14" max="14" width="11.38"/>
    <col customWidth="1" min="15" max="15" width="16.0"/>
    <col customWidth="1" min="16" max="16" width="10.0"/>
    <col customWidth="1" min="17" max="17" width="3.63"/>
    <col customWidth="1" min="18" max="18" width="13.63"/>
    <col customWidth="1" min="19" max="19" width="3.63"/>
    <col customWidth="1" min="20" max="20" width="9.38"/>
    <col customWidth="1" min="21" max="21" width="9.63"/>
    <col customWidth="1" min="22" max="26" width="9.38"/>
  </cols>
  <sheetData>
    <row r="1" ht="12.75" customHeight="1">
      <c r="A1" s="1" t="s">
        <v>0</v>
      </c>
      <c r="D1" s="2" t="s">
        <v>1</v>
      </c>
      <c r="E1" s="3"/>
      <c r="F1" s="3"/>
      <c r="G1" s="3"/>
      <c r="H1" s="3"/>
      <c r="I1" s="3"/>
      <c r="L1" s="4" t="s">
        <v>2</v>
      </c>
      <c r="M1" s="5" t="s">
        <v>3</v>
      </c>
      <c r="N1" s="3"/>
      <c r="O1" s="6" t="s">
        <v>4</v>
      </c>
      <c r="P1" s="5" t="s">
        <v>5</v>
      </c>
      <c r="Q1" s="7"/>
    </row>
    <row r="2" ht="12.75" customHeight="1">
      <c r="D2" s="8" t="s">
        <v>6</v>
      </c>
      <c r="E2" s="9"/>
      <c r="F2" s="9"/>
      <c r="G2" s="9"/>
      <c r="H2" s="9"/>
      <c r="I2" s="9"/>
      <c r="M2" s="10"/>
      <c r="Q2" s="10"/>
      <c r="R2" s="10"/>
    </row>
    <row r="3" ht="12.75" customHeight="1">
      <c r="D3" s="11"/>
      <c r="E3" s="3"/>
      <c r="F3" s="3"/>
      <c r="G3" s="3"/>
      <c r="H3" s="3"/>
      <c r="I3" s="3"/>
      <c r="M3" s="10"/>
      <c r="Q3" s="10"/>
      <c r="R3" s="10"/>
    </row>
    <row r="4" ht="12.75" customHeight="1">
      <c r="D4" s="8" t="s">
        <v>7</v>
      </c>
      <c r="E4" s="9"/>
      <c r="F4" s="9"/>
      <c r="G4" s="9"/>
      <c r="H4" s="9"/>
      <c r="I4" s="9"/>
      <c r="L4" s="12" t="str">
        <f>IF(OR('Charter Contacts'!G7="",'Charter Contacts'!G8="",'Charter Contacts'!G10="",'Charter Contacts'!G12="",'Charter Contacts'!G13="",'Charter Contacts'!E18="",'Charter Contacts'!E19="",'Charter Contacts'!E20=""),"Please ensure the Charter Contacts tab is complete.","")</f>
        <v/>
      </c>
    </row>
    <row r="5" ht="12.75" customHeight="1">
      <c r="L5" s="12" t="str">
        <f>IF('Charter Contacts'!C30="","Please enter a SIS Vendor on the Charter Contacts tab.","")</f>
        <v/>
      </c>
    </row>
    <row r="6" ht="18.0" customHeight="1">
      <c r="A6" s="10"/>
      <c r="B6" s="13" t="s">
        <v>8</v>
      </c>
      <c r="J6" s="14"/>
      <c r="K6" s="15" t="s">
        <v>9</v>
      </c>
      <c r="L6" s="16" t="s">
        <v>10</v>
      </c>
      <c r="Q6" s="17" t="s">
        <v>11</v>
      </c>
      <c r="R6" s="18">
        <v>7083828.0</v>
      </c>
    </row>
    <row r="7" ht="12.75" customHeight="1">
      <c r="A7" s="10"/>
      <c r="B7" s="10"/>
      <c r="C7" s="10"/>
      <c r="D7" s="10"/>
      <c r="E7" s="10"/>
      <c r="F7" s="10"/>
      <c r="G7" s="10"/>
      <c r="J7" s="14"/>
      <c r="K7" s="15"/>
      <c r="L7" s="16"/>
      <c r="Q7" s="17"/>
      <c r="R7" s="19"/>
    </row>
    <row r="8" ht="18.0" customHeight="1">
      <c r="A8" s="10"/>
      <c r="B8" s="13" t="s">
        <v>12</v>
      </c>
      <c r="J8" s="20"/>
      <c r="K8" s="15" t="s">
        <v>13</v>
      </c>
      <c r="L8" s="21" t="s">
        <v>14</v>
      </c>
      <c r="M8" s="22"/>
      <c r="N8" s="22"/>
      <c r="O8" s="22"/>
      <c r="P8" s="22"/>
      <c r="Q8" s="23"/>
      <c r="R8" s="19"/>
    </row>
    <row r="9" ht="12.75" customHeight="1">
      <c r="A9" s="10"/>
      <c r="B9" s="10"/>
      <c r="C9" s="10"/>
      <c r="D9" s="10"/>
      <c r="E9" s="10"/>
      <c r="F9" s="10"/>
      <c r="G9" s="10"/>
      <c r="J9" s="14"/>
      <c r="L9" s="10"/>
      <c r="M9" s="10"/>
      <c r="N9" s="10"/>
      <c r="O9" s="24" t="s">
        <v>15</v>
      </c>
      <c r="P9" s="25" t="s">
        <v>16</v>
      </c>
      <c r="Q9" s="17" t="s">
        <v>11</v>
      </c>
      <c r="R9" s="18">
        <v>96500.0</v>
      </c>
    </row>
    <row r="10" ht="12.75" customHeight="1">
      <c r="A10" s="10"/>
      <c r="B10" s="4" t="s">
        <v>17</v>
      </c>
      <c r="J10" s="26"/>
      <c r="K10" s="15"/>
      <c r="L10" s="27"/>
      <c r="M10" s="27"/>
      <c r="N10" s="27"/>
      <c r="O10" s="24" t="s">
        <v>18</v>
      </c>
      <c r="P10" s="25" t="s">
        <v>19</v>
      </c>
      <c r="Q10" s="17" t="s">
        <v>11</v>
      </c>
      <c r="R10" s="18">
        <v>0.0</v>
      </c>
    </row>
    <row r="11" ht="12.75" customHeight="1">
      <c r="A11" s="10"/>
      <c r="B11" s="4"/>
      <c r="J11" s="28"/>
      <c r="O11" s="24" t="s">
        <v>20</v>
      </c>
      <c r="P11" s="25" t="s">
        <v>21</v>
      </c>
      <c r="Q11" s="17" t="s">
        <v>11</v>
      </c>
      <c r="R11" s="18">
        <v>6378339.0</v>
      </c>
    </row>
    <row r="12" ht="12.75" customHeight="1">
      <c r="A12" s="10"/>
      <c r="B12" s="10"/>
      <c r="C12" s="10"/>
      <c r="D12" s="11" t="s">
        <v>22</v>
      </c>
      <c r="E12" s="3"/>
      <c r="F12" s="3"/>
      <c r="G12" s="3"/>
      <c r="H12" s="3"/>
      <c r="J12" s="14"/>
      <c r="O12" s="24" t="s">
        <v>23</v>
      </c>
      <c r="P12" s="25" t="s">
        <v>24</v>
      </c>
      <c r="Q12" s="17" t="s">
        <v>11</v>
      </c>
      <c r="R12" s="18">
        <v>809642.0</v>
      </c>
    </row>
    <row r="13" ht="12.75" customHeight="1">
      <c r="B13" s="29" t="s">
        <v>25</v>
      </c>
      <c r="C13" s="22"/>
      <c r="D13" s="22"/>
      <c r="E13" s="22"/>
      <c r="F13" s="22"/>
      <c r="G13" s="22"/>
      <c r="H13" s="22"/>
      <c r="I13" s="23"/>
      <c r="J13" s="14"/>
      <c r="O13" s="24" t="s">
        <v>26</v>
      </c>
      <c r="Q13" s="17" t="s">
        <v>11</v>
      </c>
      <c r="R13" s="18">
        <f>SUM(R9:R12)</f>
        <v>7284481</v>
      </c>
    </row>
    <row r="14" ht="12.75" customHeight="1">
      <c r="J14" s="14"/>
      <c r="P14" s="25"/>
      <c r="Q14" s="17"/>
      <c r="R14" s="19"/>
    </row>
    <row r="15" ht="12.75" customHeight="1">
      <c r="J15" s="14"/>
      <c r="L15" s="30" t="s">
        <v>27</v>
      </c>
      <c r="O15" s="31" t="s">
        <v>28</v>
      </c>
      <c r="P15" s="3"/>
      <c r="Q15" s="3"/>
      <c r="R15" s="3"/>
    </row>
    <row r="16" ht="12.75" customHeight="1">
      <c r="A16" s="10"/>
      <c r="B16" s="10" t="s">
        <v>29</v>
      </c>
      <c r="J16" s="14"/>
      <c r="L16" s="24" t="s">
        <v>30</v>
      </c>
      <c r="M16" s="32">
        <v>4.808202479E9</v>
      </c>
      <c r="N16" s="3"/>
      <c r="O16" s="17" t="s">
        <v>31</v>
      </c>
      <c r="P16" s="33" t="s">
        <v>32</v>
      </c>
      <c r="Q16" s="34"/>
      <c r="R16" s="34"/>
    </row>
    <row r="17" ht="12.75" customHeight="1">
      <c r="J17" s="14"/>
      <c r="P17" s="25"/>
      <c r="Q17" s="17"/>
      <c r="R17" s="19"/>
    </row>
    <row r="18" ht="12.75" customHeight="1">
      <c r="J18" s="14"/>
      <c r="L18" s="30" t="s">
        <v>33</v>
      </c>
    </row>
    <row r="19" ht="12.75" customHeight="1">
      <c r="B19" s="10" t="s">
        <v>34</v>
      </c>
      <c r="J19" s="14"/>
      <c r="L19" s="30" t="s">
        <v>35</v>
      </c>
      <c r="P19" s="35">
        <v>45478.0</v>
      </c>
      <c r="Q19" s="3"/>
      <c r="R19" s="3"/>
    </row>
    <row r="20" ht="12.75" customHeight="1">
      <c r="C20" s="30" t="s">
        <v>22</v>
      </c>
      <c r="F20" s="35">
        <v>45456.0</v>
      </c>
      <c r="G20" s="3"/>
      <c r="H20" s="3"/>
      <c r="I20" s="36" t="str">
        <f>IF(AND(ISNUMBER(SEARCH("Proposed*",D12)),F20=""),"Please enter a Proposed Date","")</f>
        <v/>
      </c>
      <c r="J20" s="14"/>
      <c r="L20" s="37" t="s">
        <v>36</v>
      </c>
      <c r="P20" s="8" t="s">
        <v>37</v>
      </c>
      <c r="Q20" s="9"/>
      <c r="R20" s="9"/>
    </row>
    <row r="21" ht="12.75" customHeight="1">
      <c r="C21" s="30" t="s">
        <v>38</v>
      </c>
      <c r="F21" s="38"/>
      <c r="G21" s="34"/>
      <c r="H21" s="34"/>
      <c r="I21" s="36" t="str">
        <f>IF(AND(ISNUMBER(SEARCH("Adopted*",D12)),F21=""),"Please enter an Adopted Date","")</f>
        <v/>
      </c>
      <c r="J21" s="14"/>
      <c r="L21" s="39"/>
    </row>
    <row r="22" ht="12.75" customHeight="1">
      <c r="A22" s="10"/>
      <c r="C22" s="30" t="s">
        <v>39</v>
      </c>
      <c r="F22" s="38"/>
      <c r="G22" s="34"/>
      <c r="H22" s="34"/>
      <c r="I22" s="40" t="str">
        <f>IF(AND(ISNUMBER(SEARCH("Revised*",D12)),F22=""),"Please enter a Revised Date","")</f>
        <v/>
      </c>
      <c r="J22" s="20"/>
      <c r="L22" s="11"/>
      <c r="M22" s="3"/>
      <c r="N22" s="3"/>
      <c r="O22" s="41"/>
      <c r="P22" s="11" t="s">
        <v>40</v>
      </c>
      <c r="Q22" s="3"/>
      <c r="R22" s="3"/>
    </row>
    <row r="23" ht="12.75" customHeight="1">
      <c r="F23" s="8" t="s">
        <v>41</v>
      </c>
      <c r="G23" s="9"/>
      <c r="H23" s="9"/>
      <c r="J23" s="14"/>
      <c r="L23" s="8" t="s">
        <v>42</v>
      </c>
      <c r="M23" s="9"/>
      <c r="N23" s="9"/>
      <c r="O23" s="42"/>
      <c r="P23" s="8" t="s">
        <v>42</v>
      </c>
      <c r="Q23" s="9"/>
      <c r="R23" s="9"/>
      <c r="S23" s="43"/>
      <c r="T23" s="43"/>
      <c r="U23" s="43"/>
    </row>
    <row r="24" ht="12.75" customHeight="1">
      <c r="B24" s="30"/>
      <c r="E24" s="44"/>
      <c r="J24" s="14"/>
    </row>
    <row r="25" ht="12.75" customHeight="1">
      <c r="A25" s="45"/>
      <c r="J25" s="28"/>
      <c r="L25" s="37" t="str">
        <f>IF(OR(L26="",P26=""),"Please enter typed school official names","")</f>
        <v>Please enter typed school official names</v>
      </c>
      <c r="U25" s="46"/>
    </row>
    <row r="26" ht="12.75" customHeight="1">
      <c r="A26" s="45"/>
      <c r="J26" s="28"/>
      <c r="L26" s="11"/>
      <c r="M26" s="3"/>
      <c r="N26" s="3"/>
      <c r="O26" s="42"/>
      <c r="P26" s="11" t="s">
        <v>28</v>
      </c>
      <c r="Q26" s="3"/>
      <c r="R26" s="3"/>
    </row>
    <row r="27" ht="12.75" customHeight="1">
      <c r="A27" s="45"/>
      <c r="J27" s="28"/>
      <c r="L27" s="8" t="s">
        <v>43</v>
      </c>
      <c r="M27" s="9"/>
      <c r="N27" s="9"/>
      <c r="O27" s="42"/>
      <c r="P27" s="8" t="s">
        <v>43</v>
      </c>
      <c r="Q27" s="9"/>
      <c r="R27" s="9"/>
    </row>
    <row r="28" ht="12.75" customHeight="1">
      <c r="B28" s="10"/>
      <c r="C28" s="30"/>
      <c r="D28" s="30"/>
      <c r="F28" s="10"/>
      <c r="G28" s="47"/>
      <c r="H28" s="10"/>
      <c r="I28" s="10"/>
      <c r="J28" s="20"/>
    </row>
    <row r="29" ht="12.75" customHeight="1">
      <c r="A29" s="11"/>
      <c r="B29" s="3"/>
      <c r="C29" s="3"/>
      <c r="D29" s="3"/>
      <c r="E29" s="3"/>
      <c r="F29" s="10"/>
      <c r="G29" s="48"/>
      <c r="H29" s="3"/>
      <c r="I29" s="3"/>
      <c r="J29" s="20"/>
      <c r="L29" s="21" t="s">
        <v>44</v>
      </c>
      <c r="M29" s="22"/>
      <c r="N29" s="22"/>
      <c r="O29" s="22"/>
      <c r="P29" s="22"/>
      <c r="Q29" s="22"/>
      <c r="R29" s="22"/>
      <c r="S29" s="23"/>
    </row>
    <row r="30" ht="12.75" customHeight="1">
      <c r="H30" s="10"/>
      <c r="I30" s="10"/>
      <c r="J30" s="20"/>
      <c r="L30" s="37" t="str">
        <f>IF((BudgetYearSalary)=0,"Average teacher salary information is not complete.",IF(AND((PriorYearSalary)=0,(L31)=""),"Average teacher salary information is not complete.",""))</f>
        <v/>
      </c>
      <c r="S30" s="37"/>
    </row>
    <row r="31" ht="12.75" customHeight="1">
      <c r="A31" s="11"/>
      <c r="B31" s="3"/>
      <c r="C31" s="3"/>
      <c r="D31" s="3"/>
      <c r="E31" s="3"/>
      <c r="F31" s="10"/>
      <c r="G31" s="48"/>
      <c r="H31" s="3"/>
      <c r="I31" s="3"/>
      <c r="J31" s="14"/>
      <c r="L31" s="49"/>
      <c r="M31" s="39" t="s">
        <v>45</v>
      </c>
      <c r="N31" s="50"/>
      <c r="O31" s="50"/>
      <c r="P31" s="50"/>
      <c r="Q31" s="50"/>
      <c r="R31" s="50"/>
    </row>
    <row r="32" ht="12.75" customHeight="1">
      <c r="J32" s="14"/>
      <c r="L32" s="39" t="s">
        <v>46</v>
      </c>
      <c r="M32" s="51"/>
      <c r="N32" s="51"/>
      <c r="O32" s="52"/>
      <c r="P32" s="52"/>
      <c r="Q32" s="17" t="s">
        <v>11</v>
      </c>
      <c r="R32" s="18">
        <f>1936940/29</f>
        <v>66791.03448</v>
      </c>
      <c r="S32" s="53" t="str">
        <f>IF(OR(BudgetYearSalary=0,PriorYearSalary=0),1/ERROR,"")</f>
        <v/>
      </c>
    </row>
    <row r="33" ht="12.75" customHeight="1">
      <c r="A33" s="11"/>
      <c r="B33" s="3"/>
      <c r="C33" s="3"/>
      <c r="D33" s="3"/>
      <c r="E33" s="3"/>
      <c r="F33" s="10"/>
      <c r="G33" s="48"/>
      <c r="H33" s="3"/>
      <c r="I33" s="3"/>
      <c r="J33" s="14"/>
      <c r="L33" s="39" t="s">
        <v>47</v>
      </c>
      <c r="O33" s="52"/>
      <c r="P33" s="52"/>
      <c r="Q33" s="17" t="s">
        <v>11</v>
      </c>
      <c r="R33" s="18">
        <v>62087.0</v>
      </c>
    </row>
    <row r="34" ht="12.75" customHeight="1">
      <c r="J34" s="14"/>
      <c r="L34" s="39" t="s">
        <v>48</v>
      </c>
      <c r="O34" s="52"/>
      <c r="P34" s="52"/>
      <c r="Q34" s="17" t="s">
        <v>11</v>
      </c>
      <c r="R34" s="18">
        <f>R32-R33</f>
        <v>4704.034483</v>
      </c>
    </row>
    <row r="35" ht="12.75" customHeight="1">
      <c r="A35" s="11"/>
      <c r="B35" s="3"/>
      <c r="C35" s="3"/>
      <c r="D35" s="3"/>
      <c r="E35" s="3"/>
      <c r="F35" s="10"/>
      <c r="G35" s="48"/>
      <c r="H35" s="3"/>
      <c r="I35" s="3"/>
      <c r="J35" s="14"/>
      <c r="L35" s="54" t="s">
        <v>49</v>
      </c>
      <c r="Q35" s="17"/>
      <c r="R35" s="55">
        <f>IF(PriorYearSalary&gt;0,R34/R33,0)</f>
        <v>0.07576520822</v>
      </c>
    </row>
    <row r="36" ht="12.75" customHeight="1">
      <c r="D36" s="10"/>
      <c r="E36" s="10"/>
      <c r="F36" s="10"/>
      <c r="G36" s="10"/>
      <c r="J36" s="14"/>
      <c r="L36" s="56" t="s">
        <v>50</v>
      </c>
      <c r="M36" s="9"/>
      <c r="N36" s="9"/>
      <c r="O36" s="9"/>
      <c r="P36" s="9"/>
      <c r="Q36" s="9"/>
      <c r="R36" s="57"/>
    </row>
    <row r="37" ht="12.75" customHeight="1">
      <c r="A37" s="11"/>
      <c r="B37" s="3"/>
      <c r="C37" s="3"/>
      <c r="D37" s="3"/>
      <c r="E37" s="3"/>
      <c r="F37" s="10"/>
      <c r="G37" s="48"/>
      <c r="H37" s="3"/>
      <c r="I37" s="3"/>
      <c r="K37" s="58"/>
      <c r="L37" s="59"/>
      <c r="R37" s="28"/>
    </row>
    <row r="38" ht="12.75" customHeight="1">
      <c r="D38" s="10"/>
      <c r="E38" s="10"/>
      <c r="F38" s="10"/>
      <c r="G38" s="10"/>
      <c r="K38" s="58"/>
      <c r="L38" s="59"/>
      <c r="R38" s="28"/>
    </row>
    <row r="39" ht="12.75" customHeight="1">
      <c r="A39" s="11"/>
      <c r="B39" s="3"/>
      <c r="C39" s="3"/>
      <c r="D39" s="3"/>
      <c r="E39" s="3"/>
      <c r="F39" s="10"/>
      <c r="G39" s="48"/>
      <c r="H39" s="3"/>
      <c r="I39" s="3"/>
      <c r="K39" s="58"/>
      <c r="L39" s="59"/>
      <c r="R39" s="28"/>
    </row>
    <row r="40" ht="12.75" customHeight="1">
      <c r="D40" s="10"/>
      <c r="E40" s="10"/>
      <c r="F40" s="10"/>
      <c r="G40" s="10"/>
      <c r="K40" s="58"/>
      <c r="L40" s="59"/>
      <c r="R40" s="28"/>
    </row>
    <row r="41" ht="12.75" customHeight="1">
      <c r="A41" s="11"/>
      <c r="B41" s="3"/>
      <c r="C41" s="3"/>
      <c r="D41" s="3"/>
      <c r="E41" s="3"/>
      <c r="F41" s="10"/>
      <c r="G41" s="48"/>
      <c r="H41" s="3"/>
      <c r="I41" s="3"/>
      <c r="K41" s="58"/>
      <c r="L41" s="59"/>
      <c r="R41" s="28"/>
    </row>
    <row r="42" ht="12.75" customHeight="1">
      <c r="A42" s="8" t="s">
        <v>51</v>
      </c>
      <c r="B42" s="9"/>
      <c r="C42" s="9"/>
      <c r="D42" s="9"/>
      <c r="E42" s="9"/>
      <c r="F42" s="60"/>
      <c r="G42" s="8" t="s">
        <v>52</v>
      </c>
      <c r="H42" s="9"/>
      <c r="I42" s="9"/>
      <c r="K42" s="58"/>
      <c r="L42" s="61"/>
      <c r="M42" s="3"/>
      <c r="N42" s="3"/>
      <c r="O42" s="3"/>
      <c r="P42" s="3"/>
      <c r="Q42" s="3"/>
      <c r="R42" s="62"/>
    </row>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8">
    <mergeCell ref="B13:I13"/>
    <mergeCell ref="B16:I16"/>
    <mergeCell ref="B19:I19"/>
    <mergeCell ref="C20:D20"/>
    <mergeCell ref="F20:H20"/>
    <mergeCell ref="C21:D21"/>
    <mergeCell ref="C22:D22"/>
    <mergeCell ref="F21:H21"/>
    <mergeCell ref="F22:H22"/>
    <mergeCell ref="F23:H23"/>
    <mergeCell ref="A25:J25"/>
    <mergeCell ref="A26:J26"/>
    <mergeCell ref="A27:J27"/>
    <mergeCell ref="G29:I29"/>
    <mergeCell ref="A37:E37"/>
    <mergeCell ref="G37:I37"/>
    <mergeCell ref="A29:E29"/>
    <mergeCell ref="A31:E31"/>
    <mergeCell ref="G31:I31"/>
    <mergeCell ref="A33:E33"/>
    <mergeCell ref="G33:I33"/>
    <mergeCell ref="A35:E35"/>
    <mergeCell ref="G35:I35"/>
    <mergeCell ref="A1:C1"/>
    <mergeCell ref="D1:I1"/>
    <mergeCell ref="M1:N1"/>
    <mergeCell ref="D2:I2"/>
    <mergeCell ref="D3:I3"/>
    <mergeCell ref="L4:R4"/>
    <mergeCell ref="L5:R5"/>
    <mergeCell ref="D4:I4"/>
    <mergeCell ref="B6:I6"/>
    <mergeCell ref="B8:I8"/>
    <mergeCell ref="B10:I10"/>
    <mergeCell ref="J10:J11"/>
    <mergeCell ref="B11:I11"/>
    <mergeCell ref="D12:H12"/>
    <mergeCell ref="L6:P6"/>
    <mergeCell ref="L7:P7"/>
    <mergeCell ref="L8:Q8"/>
    <mergeCell ref="L15:N15"/>
    <mergeCell ref="O15:R15"/>
    <mergeCell ref="M16:N16"/>
    <mergeCell ref="P16:R16"/>
    <mergeCell ref="L22:N22"/>
    <mergeCell ref="L23:N23"/>
    <mergeCell ref="L18:R18"/>
    <mergeCell ref="L19:O19"/>
    <mergeCell ref="P19:R19"/>
    <mergeCell ref="L20:O20"/>
    <mergeCell ref="P20:R20"/>
    <mergeCell ref="L21:R21"/>
    <mergeCell ref="P22:R22"/>
    <mergeCell ref="L30:R30"/>
    <mergeCell ref="L36:R42"/>
    <mergeCell ref="A39:E39"/>
    <mergeCell ref="G39:I39"/>
    <mergeCell ref="A41:E41"/>
    <mergeCell ref="G41:I41"/>
    <mergeCell ref="A42:E42"/>
    <mergeCell ref="G42:I42"/>
    <mergeCell ref="P23:R23"/>
    <mergeCell ref="L25:R25"/>
    <mergeCell ref="L26:N26"/>
    <mergeCell ref="P26:R26"/>
    <mergeCell ref="L27:N27"/>
    <mergeCell ref="P27:R27"/>
    <mergeCell ref="L29:S29"/>
  </mergeCells>
  <dataValidations>
    <dataValidation type="custom" allowBlank="1" showInputMessage="1" showErrorMessage="1" prompt="Telephone Number - Telephone number will format automatically. Enter number with no dashes or parenthesis." sqref="M16">
      <formula1>AND(ISNUMBER(M16),LEN(M16)=10)</formula1>
    </dataValidation>
    <dataValidation type="list" allowBlank="1" showErrorMessage="1" sqref="L31">
      <formula1>"X"</formula1>
    </dataValidation>
    <dataValidation type="custom" allowBlank="1" showInputMessage="1" showErrorMessage="1" prompt="This cell will only accept entries of 9 digits.  Enter your CTD number plus 3 zeros." sqref="P1">
      <formula1>EQ(LEN(P1),(9))</formula1>
    </dataValidation>
    <dataValidation type="date" operator="greaterThan" allowBlank="1" showInputMessage="1" showErrorMessage="1" prompt="Enter Date as - MM/DD/YYYY" sqref="F21:F22">
      <formula1>F20</formula1>
    </dataValidation>
    <dataValidation type="date" operator="greaterThan" allowBlank="1" showInputMessage="1" showErrorMessage="1" prompt="Enter Date as - MM/DD/YYYY" sqref="P19 F20">
      <formula1>43241.0</formula1>
    </dataValidation>
    <dataValidation type="list" allowBlank="1" showInputMessage="1" showErrorMessage="1" prompt="Invalid Entry - Please select the budget version from the drop down list." sqref="D12">
      <formula1>"Proposed,Adopted"</formula1>
    </dataValidation>
  </dataValidations>
  <hyperlinks>
    <hyperlink display="CTDS number" location="CTDSNumber" ref="O1"/>
    <hyperlink r:id="rId1" ref="P16"/>
  </hyperlinks>
  <printOptions horizontalCentered="1" verticalCentered="1"/>
  <pageMargins bottom="0.25" footer="0.0" header="0.0" left="0.75" right="0.5" top="0.25"/>
  <pageSetup paperSize="5" orientation="landscape"/>
  <headerFooter>
    <oddFooter>&amp;LRev.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9.0"/>
    <col customWidth="1" min="2" max="2" width="26.38"/>
    <col customWidth="1" min="3" max="3" width="9.63"/>
    <col customWidth="1" min="4" max="4" width="24.38"/>
    <col customWidth="1" min="5" max="5" width="16.0"/>
    <col customWidth="1" min="6" max="6" width="12.38"/>
    <col customWidth="1" min="7" max="7" width="41.63"/>
    <col customWidth="1" min="8" max="8" width="17.63"/>
    <col customWidth="1" min="9" max="9" width="11.0"/>
    <col customWidth="1" min="10" max="25" width="9.38"/>
    <col customWidth="1" min="26" max="26" width="9.0"/>
    <col customWidth="1" min="27" max="27" width="9.38"/>
  </cols>
  <sheetData>
    <row r="1" ht="12.75" customHeight="1">
      <c r="A1" s="24" t="s">
        <v>0</v>
      </c>
      <c r="B1" s="63" t="str">
        <f>CharterName</f>
        <v>Western School of Science and Technology</v>
      </c>
      <c r="C1" s="3"/>
      <c r="E1" s="10" t="s">
        <v>53</v>
      </c>
      <c r="F1" s="2" t="str">
        <f>Cover!M1</f>
        <v>Maricopa</v>
      </c>
      <c r="G1" s="17" t="s">
        <v>4</v>
      </c>
      <c r="H1" s="64" t="str">
        <f>CTD</f>
        <v>078221000</v>
      </c>
      <c r="Y1" s="53"/>
      <c r="Z1" s="65"/>
    </row>
    <row r="2" ht="12.75" customHeight="1">
      <c r="B2" s="66"/>
      <c r="C2" s="66"/>
      <c r="E2" s="17"/>
      <c r="F2" s="46"/>
      <c r="G2" s="17"/>
      <c r="H2" s="30"/>
      <c r="Y2" s="53"/>
      <c r="Z2" s="65"/>
    </row>
    <row r="3" ht="12.75" customHeight="1">
      <c r="B3" s="66"/>
      <c r="C3" s="66"/>
      <c r="E3" s="17"/>
      <c r="F3" s="46"/>
      <c r="G3" s="17"/>
      <c r="H3" s="30"/>
      <c r="Y3" s="53"/>
      <c r="Z3" s="65"/>
    </row>
    <row r="4" ht="12.75" customHeight="1">
      <c r="B4" s="66"/>
      <c r="C4" s="67" t="s">
        <v>54</v>
      </c>
      <c r="D4" s="22"/>
      <c r="E4" s="22"/>
      <c r="F4" s="22"/>
      <c r="G4" s="22"/>
      <c r="H4" s="23"/>
      <c r="Y4" s="53"/>
      <c r="Z4" s="65"/>
    </row>
    <row r="5" ht="12.75" customHeight="1">
      <c r="Y5" s="53"/>
      <c r="Z5" s="65" t="s">
        <v>55</v>
      </c>
    </row>
    <row r="6" ht="12.75" customHeight="1">
      <c r="C6" s="68" t="s">
        <v>56</v>
      </c>
      <c r="D6" s="68" t="s">
        <v>57</v>
      </c>
      <c r="E6" s="69" t="s">
        <v>58</v>
      </c>
      <c r="F6" s="70"/>
      <c r="G6" s="68" t="s">
        <v>59</v>
      </c>
      <c r="H6" s="68" t="s">
        <v>60</v>
      </c>
      <c r="I6" s="68" t="s">
        <v>61</v>
      </c>
      <c r="Y6" s="53"/>
      <c r="Z6" s="65" t="s">
        <v>62</v>
      </c>
      <c r="AA6" s="71"/>
    </row>
    <row r="7" ht="12.75" customHeight="1">
      <c r="A7" s="72" t="s">
        <v>63</v>
      </c>
      <c r="B7" s="28"/>
      <c r="C7" s="73" t="s">
        <v>64</v>
      </c>
      <c r="D7" s="73" t="s">
        <v>65</v>
      </c>
      <c r="E7" s="74" t="s">
        <v>66</v>
      </c>
      <c r="F7" s="70"/>
      <c r="G7" s="75" t="s">
        <v>67</v>
      </c>
      <c r="H7" s="76">
        <v>6.232493E9</v>
      </c>
      <c r="I7" s="73">
        <v>304.0</v>
      </c>
      <c r="Y7" s="53"/>
      <c r="Z7" s="65" t="s">
        <v>68</v>
      </c>
      <c r="AA7" s="71"/>
    </row>
    <row r="8" ht="12.75" customHeight="1">
      <c r="A8" s="72" t="s">
        <v>63</v>
      </c>
      <c r="B8" s="28"/>
      <c r="C8" s="73" t="s">
        <v>64</v>
      </c>
      <c r="D8" s="73" t="s">
        <v>65</v>
      </c>
      <c r="E8" s="77" t="s">
        <v>66</v>
      </c>
      <c r="F8" s="70"/>
      <c r="G8" s="75" t="s">
        <v>67</v>
      </c>
      <c r="H8" s="76">
        <v>6.232493E9</v>
      </c>
      <c r="I8" s="73">
        <v>304.0</v>
      </c>
      <c r="Y8" s="53"/>
      <c r="Z8" s="65" t="s">
        <v>64</v>
      </c>
      <c r="AA8" s="71"/>
    </row>
    <row r="9" ht="12.75" customHeight="1">
      <c r="A9" s="72" t="s">
        <v>69</v>
      </c>
      <c r="B9" s="28"/>
      <c r="C9" s="73" t="s">
        <v>64</v>
      </c>
      <c r="D9" s="73" t="s">
        <v>70</v>
      </c>
      <c r="E9" s="77" t="s">
        <v>71</v>
      </c>
      <c r="F9" s="70"/>
      <c r="G9" s="78" t="s">
        <v>72</v>
      </c>
      <c r="H9" s="76">
        <v>6.232493E9</v>
      </c>
      <c r="I9" s="73">
        <v>302.0</v>
      </c>
      <c r="Y9" s="53"/>
      <c r="Z9" s="79" t="s">
        <v>73</v>
      </c>
      <c r="AA9" s="71"/>
    </row>
    <row r="10" ht="12.75" customHeight="1">
      <c r="A10" s="72" t="s">
        <v>74</v>
      </c>
      <c r="B10" s="28"/>
      <c r="C10" s="73" t="s">
        <v>73</v>
      </c>
      <c r="D10" s="73" t="s">
        <v>75</v>
      </c>
      <c r="E10" s="77" t="s">
        <v>76</v>
      </c>
      <c r="F10" s="70"/>
      <c r="G10" s="75" t="s">
        <v>32</v>
      </c>
      <c r="H10" s="76">
        <v>6.026184422E9</v>
      </c>
      <c r="I10" s="73"/>
      <c r="Y10" s="53"/>
      <c r="Z10" s="65"/>
      <c r="AA10" s="71"/>
    </row>
    <row r="11" ht="12.75" customHeight="1">
      <c r="A11" s="72" t="s">
        <v>77</v>
      </c>
      <c r="B11" s="80"/>
      <c r="C11" s="73" t="s">
        <v>73</v>
      </c>
      <c r="D11" s="73" t="s">
        <v>75</v>
      </c>
      <c r="E11" s="77" t="s">
        <v>76</v>
      </c>
      <c r="F11" s="70"/>
      <c r="G11" s="78" t="s">
        <v>32</v>
      </c>
      <c r="H11" s="76">
        <v>6.026184422E9</v>
      </c>
      <c r="I11" s="73"/>
      <c r="Y11" s="53"/>
      <c r="Z11" s="65" t="s">
        <v>78</v>
      </c>
      <c r="AA11" s="71"/>
    </row>
    <row r="12" ht="12.75" customHeight="1">
      <c r="A12" s="72" t="s">
        <v>79</v>
      </c>
      <c r="B12" s="28"/>
      <c r="C12" s="73" t="s">
        <v>64</v>
      </c>
      <c r="D12" s="73" t="s">
        <v>80</v>
      </c>
      <c r="E12" s="77" t="s">
        <v>81</v>
      </c>
      <c r="F12" s="70"/>
      <c r="G12" s="75" t="s">
        <v>82</v>
      </c>
      <c r="H12" s="76">
        <v>6.2324939E9</v>
      </c>
      <c r="I12" s="73">
        <v>304.0</v>
      </c>
      <c r="Y12" s="53"/>
      <c r="Z12" s="65" t="s">
        <v>83</v>
      </c>
      <c r="AA12" s="71"/>
    </row>
    <row r="13" ht="12.75" customHeight="1">
      <c r="A13" s="72" t="s">
        <v>84</v>
      </c>
      <c r="B13" s="28"/>
      <c r="C13" s="73" t="s">
        <v>62</v>
      </c>
      <c r="D13" s="73" t="s">
        <v>85</v>
      </c>
      <c r="E13" s="77" t="s">
        <v>86</v>
      </c>
      <c r="F13" s="70"/>
      <c r="G13" s="75" t="s">
        <v>87</v>
      </c>
      <c r="H13" s="76">
        <v>6.2324939E9</v>
      </c>
      <c r="I13" s="73">
        <v>140.0</v>
      </c>
      <c r="Y13" s="53"/>
      <c r="Z13" s="65"/>
      <c r="AA13" s="71"/>
    </row>
    <row r="14" ht="12.75" customHeight="1">
      <c r="A14" s="72" t="s">
        <v>88</v>
      </c>
      <c r="B14" s="80"/>
      <c r="C14" s="73" t="s">
        <v>64</v>
      </c>
      <c r="D14" s="73" t="s">
        <v>89</v>
      </c>
      <c r="E14" s="77" t="s">
        <v>90</v>
      </c>
      <c r="F14" s="70"/>
      <c r="G14" s="78" t="s">
        <v>91</v>
      </c>
      <c r="H14" s="76">
        <v>6.2324939E9</v>
      </c>
      <c r="I14" s="73">
        <v>317.0</v>
      </c>
      <c r="Y14" s="53"/>
      <c r="Z14" s="65"/>
      <c r="AA14" s="71"/>
    </row>
    <row r="15" ht="12.75" customHeight="1">
      <c r="A15" s="72" t="s">
        <v>92</v>
      </c>
      <c r="B15" s="80"/>
      <c r="C15" s="73" t="s">
        <v>64</v>
      </c>
      <c r="D15" s="73" t="s">
        <v>93</v>
      </c>
      <c r="E15" s="77" t="s">
        <v>94</v>
      </c>
      <c r="F15" s="70"/>
      <c r="G15" s="78" t="s">
        <v>95</v>
      </c>
      <c r="H15" s="76">
        <v>6.2324939E9</v>
      </c>
      <c r="I15" s="73">
        <v>310.0</v>
      </c>
      <c r="Y15" s="53"/>
      <c r="Z15" s="65"/>
      <c r="AA15" s="71"/>
    </row>
    <row r="16" ht="12.75" customHeight="1">
      <c r="A16" s="72" t="s">
        <v>96</v>
      </c>
      <c r="B16" s="80"/>
      <c r="C16" s="73" t="s">
        <v>64</v>
      </c>
      <c r="D16" s="73" t="s">
        <v>97</v>
      </c>
      <c r="E16" s="77" t="s">
        <v>98</v>
      </c>
      <c r="F16" s="70"/>
      <c r="G16" s="78" t="s">
        <v>99</v>
      </c>
      <c r="H16" s="76">
        <v>6.2324939E9</v>
      </c>
      <c r="I16" s="73">
        <v>312.0</v>
      </c>
      <c r="Y16" s="53"/>
      <c r="Z16" s="65"/>
      <c r="AA16" s="71"/>
    </row>
    <row r="17" ht="12.75" customHeight="1">
      <c r="A17" s="72" t="s">
        <v>100</v>
      </c>
      <c r="B17" s="80"/>
      <c r="C17" s="73" t="s">
        <v>62</v>
      </c>
      <c r="D17" s="73" t="s">
        <v>101</v>
      </c>
      <c r="E17" s="77" t="s">
        <v>102</v>
      </c>
      <c r="F17" s="70"/>
      <c r="G17" s="78" t="s">
        <v>103</v>
      </c>
      <c r="H17" s="76">
        <v>6.2324939E9</v>
      </c>
      <c r="I17" s="73">
        <v>308.0</v>
      </c>
      <c r="Y17" s="53"/>
      <c r="Z17" s="65"/>
      <c r="AA17" s="71"/>
    </row>
    <row r="18" ht="12.75" customHeight="1">
      <c r="A18" s="72" t="s">
        <v>104</v>
      </c>
      <c r="B18" s="28"/>
      <c r="C18" s="73" t="s">
        <v>62</v>
      </c>
      <c r="D18" s="73" t="s">
        <v>105</v>
      </c>
      <c r="E18" s="77" t="s">
        <v>106</v>
      </c>
      <c r="F18" s="70"/>
      <c r="G18" s="78" t="s">
        <v>107</v>
      </c>
      <c r="H18" s="76">
        <v>6.232493E9</v>
      </c>
      <c r="I18" s="73">
        <v>304.0</v>
      </c>
      <c r="Y18" s="53"/>
      <c r="Z18" s="65"/>
      <c r="AA18" s="71"/>
    </row>
    <row r="19" ht="12.75" customHeight="1">
      <c r="A19" s="72" t="s">
        <v>104</v>
      </c>
      <c r="B19" s="28"/>
      <c r="C19" s="73" t="s">
        <v>64</v>
      </c>
      <c r="D19" s="73" t="s">
        <v>65</v>
      </c>
      <c r="E19" s="77" t="s">
        <v>66</v>
      </c>
      <c r="F19" s="70"/>
      <c r="G19" s="78" t="s">
        <v>67</v>
      </c>
      <c r="H19" s="76">
        <v>6.232493E9</v>
      </c>
      <c r="I19" s="73">
        <v>304.0</v>
      </c>
      <c r="Y19" s="53"/>
      <c r="Z19" s="65"/>
      <c r="AA19" s="71"/>
    </row>
    <row r="20" ht="12.75" customHeight="1">
      <c r="A20" s="72" t="s">
        <v>104</v>
      </c>
      <c r="B20" s="28"/>
      <c r="C20" s="73" t="s">
        <v>64</v>
      </c>
      <c r="D20" s="73" t="s">
        <v>108</v>
      </c>
      <c r="E20" s="77" t="s">
        <v>109</v>
      </c>
      <c r="F20" s="70"/>
      <c r="G20" s="78" t="s">
        <v>110</v>
      </c>
      <c r="H20" s="76">
        <v>6.232493E9</v>
      </c>
      <c r="I20" s="73">
        <v>304.0</v>
      </c>
      <c r="Y20" s="53"/>
      <c r="Z20" s="65"/>
      <c r="AA20" s="71"/>
    </row>
    <row r="21" ht="12.75" customHeight="1">
      <c r="A21" s="72" t="s">
        <v>104</v>
      </c>
      <c r="B21" s="28"/>
      <c r="C21" s="73" t="s">
        <v>62</v>
      </c>
      <c r="D21" s="73" t="s">
        <v>111</v>
      </c>
      <c r="E21" s="74" t="s">
        <v>112</v>
      </c>
      <c r="F21" s="81"/>
      <c r="G21" s="78" t="s">
        <v>113</v>
      </c>
      <c r="H21" s="76">
        <v>6.232493E9</v>
      </c>
      <c r="I21" s="73">
        <v>304.0</v>
      </c>
      <c r="Y21" s="53"/>
      <c r="Z21" s="65"/>
      <c r="AA21" s="71"/>
    </row>
    <row r="22" ht="12.75" customHeight="1">
      <c r="A22" s="72" t="s">
        <v>104</v>
      </c>
      <c r="B22" s="28"/>
      <c r="C22" s="73" t="s">
        <v>62</v>
      </c>
      <c r="D22" s="73" t="s">
        <v>114</v>
      </c>
      <c r="E22" s="77" t="s">
        <v>115</v>
      </c>
      <c r="F22" s="82"/>
      <c r="G22" s="78" t="s">
        <v>116</v>
      </c>
      <c r="H22" s="76">
        <v>6.232493E9</v>
      </c>
      <c r="I22" s="73">
        <v>304.0</v>
      </c>
      <c r="Y22" s="53"/>
      <c r="Z22" s="65"/>
      <c r="AA22" s="71"/>
    </row>
    <row r="23" ht="12.75" customHeight="1">
      <c r="A23" s="72" t="s">
        <v>104</v>
      </c>
      <c r="B23" s="28"/>
      <c r="C23" s="73" t="s">
        <v>62</v>
      </c>
      <c r="D23" s="73" t="s">
        <v>117</v>
      </c>
      <c r="E23" s="77" t="s">
        <v>118</v>
      </c>
      <c r="F23" s="82"/>
      <c r="G23" s="78" t="s">
        <v>119</v>
      </c>
      <c r="H23" s="76">
        <v>6.232493E9</v>
      </c>
      <c r="I23" s="73">
        <v>304.0</v>
      </c>
      <c r="Y23" s="53"/>
      <c r="Z23" s="65"/>
      <c r="AA23" s="71"/>
    </row>
    <row r="24" ht="12.75" customHeight="1">
      <c r="A24" s="72" t="s">
        <v>104</v>
      </c>
      <c r="B24" s="28"/>
      <c r="C24" s="73" t="s">
        <v>64</v>
      </c>
      <c r="D24" s="73" t="s">
        <v>120</v>
      </c>
      <c r="E24" s="77" t="s">
        <v>121</v>
      </c>
      <c r="F24" s="70"/>
      <c r="G24" s="78" t="s">
        <v>122</v>
      </c>
      <c r="H24" s="76">
        <v>6.232493E9</v>
      </c>
      <c r="I24" s="73">
        <v>304.0</v>
      </c>
      <c r="Y24" s="53"/>
      <c r="Z24" s="65"/>
      <c r="AA24" s="71"/>
    </row>
    <row r="25" ht="12.75" customHeight="1">
      <c r="A25" s="72" t="s">
        <v>104</v>
      </c>
      <c r="B25" s="28"/>
      <c r="C25" s="73"/>
      <c r="D25" s="73"/>
      <c r="E25" s="77"/>
      <c r="F25" s="70"/>
      <c r="G25" s="78"/>
      <c r="H25" s="76"/>
      <c r="I25" s="73"/>
      <c r="Y25" s="53"/>
      <c r="Z25" s="65"/>
      <c r="AA25" s="71"/>
    </row>
    <row r="26" ht="12.75" customHeight="1">
      <c r="A26" s="72" t="s">
        <v>104</v>
      </c>
      <c r="B26" s="28"/>
      <c r="C26" s="73"/>
      <c r="D26" s="73"/>
      <c r="E26" s="77"/>
      <c r="F26" s="70"/>
      <c r="G26" s="78"/>
      <c r="H26" s="76"/>
      <c r="I26" s="73"/>
      <c r="Y26" s="53"/>
      <c r="Z26" s="65"/>
      <c r="AA26" s="71"/>
    </row>
    <row r="27" ht="12.75" customHeight="1">
      <c r="A27" s="72" t="s">
        <v>104</v>
      </c>
      <c r="B27" s="28"/>
      <c r="C27" s="73"/>
      <c r="D27" s="73"/>
      <c r="E27" s="77"/>
      <c r="F27" s="70"/>
      <c r="G27" s="78"/>
      <c r="H27" s="76"/>
      <c r="I27" s="73"/>
      <c r="Y27" s="53"/>
      <c r="Z27" s="79" t="s">
        <v>123</v>
      </c>
      <c r="AA27" s="71"/>
    </row>
    <row r="28" ht="12.75" customHeight="1">
      <c r="Y28" s="53"/>
      <c r="Z28" s="79"/>
      <c r="AA28" s="71"/>
    </row>
    <row r="29" ht="12.75" customHeight="1">
      <c r="C29" s="48" t="s">
        <v>124</v>
      </c>
      <c r="D29" s="3"/>
      <c r="Y29" s="53"/>
      <c r="Z29" s="79" t="s">
        <v>125</v>
      </c>
      <c r="AA29" s="71"/>
    </row>
    <row r="30" ht="12.75" customHeight="1">
      <c r="A30" s="72" t="s">
        <v>126</v>
      </c>
      <c r="B30" s="28"/>
      <c r="C30" s="74" t="s">
        <v>127</v>
      </c>
      <c r="D30" s="70"/>
      <c r="Y30" s="53"/>
      <c r="Z30" s="65" t="s">
        <v>128</v>
      </c>
      <c r="AA30" s="71"/>
    </row>
    <row r="31" ht="12.75" customHeight="1">
      <c r="Y31" s="53"/>
      <c r="Z31" s="65" t="s">
        <v>127</v>
      </c>
      <c r="AA31" s="71"/>
    </row>
    <row r="32" ht="12.75" customHeight="1">
      <c r="A32" s="24" t="s">
        <v>129</v>
      </c>
      <c r="C32" s="74" t="s">
        <v>130</v>
      </c>
      <c r="D32" s="70"/>
      <c r="F32" s="42"/>
      <c r="G32" s="42"/>
      <c r="Y32" s="53"/>
      <c r="Z32" s="79" t="s">
        <v>131</v>
      </c>
      <c r="AA32" s="71"/>
    </row>
    <row r="33" ht="12.75" customHeight="1">
      <c r="F33" s="42"/>
      <c r="G33" s="42"/>
      <c r="Y33" s="53"/>
      <c r="Z33" s="79" t="s">
        <v>132</v>
      </c>
      <c r="AA33" s="71"/>
    </row>
    <row r="34" ht="12.75" customHeight="1">
      <c r="A34" s="83" t="s">
        <v>133</v>
      </c>
      <c r="C34" s="84" t="s">
        <v>78</v>
      </c>
      <c r="D34" s="57"/>
      <c r="F34" s="42"/>
      <c r="G34" s="42"/>
      <c r="Y34" s="53"/>
      <c r="Z34" s="65" t="s">
        <v>134</v>
      </c>
      <c r="AA34" s="71"/>
    </row>
    <row r="35" ht="12.75" customHeight="1">
      <c r="C35" s="61"/>
      <c r="D35" s="62"/>
      <c r="Y35" s="53"/>
      <c r="Z35" s="65" t="s">
        <v>135</v>
      </c>
      <c r="AA35" s="71"/>
    </row>
    <row r="36" ht="12.75" customHeight="1">
      <c r="Y36" s="53"/>
      <c r="Z36" s="65" t="s">
        <v>136</v>
      </c>
      <c r="AA36" s="71"/>
    </row>
    <row r="37" ht="12.75" customHeight="1">
      <c r="A37" s="30" t="s">
        <v>137</v>
      </c>
      <c r="B37" s="28"/>
      <c r="C37" s="85" t="s">
        <v>138</v>
      </c>
      <c r="D37" s="70"/>
      <c r="Y37" s="53"/>
      <c r="Z37" s="79" t="s">
        <v>139</v>
      </c>
      <c r="AA37" s="71"/>
    </row>
    <row r="38" ht="12.75" customHeight="1">
      <c r="Y38" s="53"/>
      <c r="Z38" s="65" t="s">
        <v>140</v>
      </c>
      <c r="AA38" s="71"/>
    </row>
    <row r="39" ht="12.75" customHeight="1">
      <c r="A39" s="86" t="s">
        <v>141</v>
      </c>
      <c r="B39" s="87"/>
      <c r="C39" s="88"/>
      <c r="D39" s="88"/>
      <c r="Y39" s="53"/>
      <c r="Z39" s="79" t="s">
        <v>142</v>
      </c>
      <c r="AA39" s="71"/>
    </row>
    <row r="40" ht="12.75" customHeight="1">
      <c r="A40" s="89" t="s">
        <v>143</v>
      </c>
      <c r="B40" s="89"/>
      <c r="C40" s="90" t="s">
        <v>144</v>
      </c>
      <c r="D40" s="70"/>
      <c r="Y40" s="53"/>
      <c r="Z40" s="79" t="s">
        <v>145</v>
      </c>
      <c r="AA40" s="71"/>
    </row>
    <row r="41" ht="12.75" customHeight="1">
      <c r="A41" s="91" t="s">
        <v>146</v>
      </c>
      <c r="B41" s="91"/>
      <c r="C41" s="92"/>
      <c r="D41" s="23"/>
      <c r="Y41" s="53"/>
      <c r="Z41" s="79" t="s">
        <v>147</v>
      </c>
      <c r="AA41" s="71"/>
    </row>
    <row r="42" ht="12.75" customHeight="1">
      <c r="A42" s="89" t="s">
        <v>148</v>
      </c>
      <c r="B42" s="89"/>
      <c r="C42" s="93" t="s">
        <v>149</v>
      </c>
      <c r="D42" s="70"/>
      <c r="Y42" s="53"/>
      <c r="Z42" s="65"/>
      <c r="AA42" s="71"/>
    </row>
    <row r="43" ht="12.75" customHeight="1">
      <c r="A43" s="89" t="s">
        <v>150</v>
      </c>
      <c r="B43" s="89"/>
      <c r="C43" s="93" t="s">
        <v>149</v>
      </c>
      <c r="D43" s="70"/>
      <c r="Y43" s="53"/>
      <c r="Z43" s="79"/>
      <c r="AA43" s="71"/>
    </row>
    <row r="44" ht="12.75" customHeight="1">
      <c r="A44" s="89" t="s">
        <v>151</v>
      </c>
      <c r="B44" s="89"/>
      <c r="C44" s="93" t="s">
        <v>149</v>
      </c>
      <c r="D44" s="70"/>
      <c r="Z44" s="65"/>
      <c r="AA44" s="71"/>
    </row>
    <row r="45" ht="12.75" customHeight="1">
      <c r="A45" s="94" t="s">
        <v>152</v>
      </c>
      <c r="B45" s="23"/>
      <c r="C45" s="93" t="s">
        <v>149</v>
      </c>
      <c r="D45" s="70"/>
      <c r="Z45" s="65"/>
      <c r="AA45" s="71"/>
    </row>
    <row r="46" ht="12.75" customHeight="1">
      <c r="A46" s="89" t="s">
        <v>153</v>
      </c>
      <c r="B46" s="89"/>
      <c r="C46" s="93" t="s">
        <v>149</v>
      </c>
      <c r="D46" s="70"/>
      <c r="Z46" s="65"/>
    </row>
    <row r="47" ht="12.75" customHeight="1">
      <c r="A47" s="89" t="s">
        <v>20</v>
      </c>
      <c r="B47" s="89"/>
      <c r="C47" s="93" t="s">
        <v>149</v>
      </c>
      <c r="D47" s="70"/>
      <c r="Z47" s="65"/>
    </row>
    <row r="48" ht="12.75" customHeight="1">
      <c r="A48" s="91" t="s">
        <v>154</v>
      </c>
      <c r="B48" s="91"/>
      <c r="C48" s="93" t="s">
        <v>149</v>
      </c>
      <c r="D48" s="70"/>
      <c r="Z48" s="65"/>
    </row>
    <row r="49" ht="12.75" customHeight="1">
      <c r="Z49" s="65"/>
    </row>
    <row r="50" ht="12.75" customHeight="1">
      <c r="B50" s="95"/>
      <c r="Z50" s="65"/>
    </row>
    <row r="51" ht="12.75" customHeight="1">
      <c r="Z51" s="65"/>
    </row>
    <row r="52" ht="12.75" customHeight="1">
      <c r="Z52" s="65"/>
    </row>
    <row r="53" ht="12.75" customHeight="1">
      <c r="Z53" s="65"/>
    </row>
    <row r="54" ht="12.75" customHeight="1">
      <c r="Z54" s="65"/>
    </row>
    <row r="55" ht="12.75" customHeight="1">
      <c r="Z55" s="65"/>
    </row>
    <row r="56" ht="12.75" customHeight="1">
      <c r="B56" s="95"/>
      <c r="Z56" s="65"/>
    </row>
    <row r="57" ht="12.75" customHeight="1">
      <c r="Z57" s="65"/>
    </row>
    <row r="58" ht="12.75" customHeight="1">
      <c r="Z58" s="65"/>
    </row>
    <row r="59" ht="12.75" customHeight="1">
      <c r="Z59" s="65"/>
    </row>
    <row r="60" ht="12.75" customHeight="1">
      <c r="Z60" s="65"/>
    </row>
    <row r="61" ht="12.75" customHeight="1">
      <c r="Z61" s="65"/>
    </row>
    <row r="62" ht="12.75" customHeight="1">
      <c r="Z62" s="65"/>
    </row>
    <row r="63" ht="12.75" customHeight="1">
      <c r="Z63" s="65"/>
    </row>
    <row r="64" ht="12.75" customHeight="1">
      <c r="Z64" s="65"/>
    </row>
    <row r="65" ht="12.75" customHeight="1">
      <c r="Z65" s="65"/>
    </row>
    <row r="66" ht="12.75" customHeight="1">
      <c r="Z66" s="65"/>
    </row>
    <row r="67" ht="12.75" customHeight="1">
      <c r="Z67" s="65"/>
    </row>
    <row r="68" ht="12.75" customHeight="1">
      <c r="Z68" s="65"/>
    </row>
    <row r="69" ht="12.75" customHeight="1">
      <c r="Z69" s="65"/>
    </row>
    <row r="70" ht="12.75" customHeight="1">
      <c r="Z70" s="65"/>
    </row>
    <row r="71" ht="12.75" customHeight="1">
      <c r="Z71" s="65"/>
    </row>
    <row r="72" ht="12.75" customHeight="1">
      <c r="Z72" s="65"/>
    </row>
    <row r="73" ht="12.75" customHeight="1">
      <c r="Z73" s="65"/>
    </row>
    <row r="74" ht="12.75" customHeight="1">
      <c r="Z74" s="65"/>
    </row>
    <row r="75" ht="12.75" customHeight="1">
      <c r="Z75" s="65"/>
    </row>
    <row r="76" ht="12.75" customHeight="1">
      <c r="Z76" s="65"/>
    </row>
    <row r="77" ht="12.75" customHeight="1">
      <c r="Z77" s="65"/>
    </row>
    <row r="78" ht="12.75" customHeight="1">
      <c r="Z78" s="65"/>
    </row>
    <row r="79" ht="12.75" customHeight="1">
      <c r="Z79" s="65"/>
    </row>
    <row r="80" ht="12.75" customHeight="1">
      <c r="Z80" s="65"/>
    </row>
    <row r="81" ht="12.75" customHeight="1">
      <c r="Z81" s="65"/>
    </row>
    <row r="82" ht="12.75" customHeight="1">
      <c r="Z82" s="65"/>
    </row>
    <row r="83" ht="12.75" customHeight="1">
      <c r="Z83" s="65"/>
    </row>
    <row r="84" ht="12.75" customHeight="1">
      <c r="Z84" s="65"/>
    </row>
    <row r="85" ht="12.75" customHeight="1">
      <c r="Z85" s="65"/>
    </row>
    <row r="86" ht="12.75" customHeight="1">
      <c r="Z86" s="65"/>
    </row>
    <row r="87" ht="12.75" customHeight="1">
      <c r="Z87" s="65"/>
    </row>
    <row r="88" ht="12.75" customHeight="1">
      <c r="Z88" s="65"/>
    </row>
    <row r="89" ht="12.75" customHeight="1">
      <c r="Z89" s="65"/>
    </row>
    <row r="90" ht="12.75" customHeight="1">
      <c r="Z90" s="65"/>
    </row>
    <row r="91" ht="12.75" customHeight="1">
      <c r="Z91" s="65"/>
    </row>
    <row r="92" ht="12.75" customHeight="1">
      <c r="Z92" s="65"/>
    </row>
    <row r="93" ht="12.75" customHeight="1">
      <c r="Z93" s="65"/>
    </row>
    <row r="94" ht="12.75" customHeight="1">
      <c r="Z94" s="65"/>
    </row>
    <row r="95" ht="12.75" customHeight="1">
      <c r="Z95" s="65"/>
    </row>
    <row r="96" ht="12.75" customHeight="1">
      <c r="Z96" s="65"/>
    </row>
    <row r="97" ht="12.75" customHeight="1">
      <c r="Z97" s="65"/>
    </row>
    <row r="98" ht="12.75" customHeight="1">
      <c r="Z98" s="65"/>
    </row>
    <row r="99" ht="12.75" customHeight="1">
      <c r="Z99" s="65"/>
    </row>
    <row r="100" ht="12.75" customHeight="1">
      <c r="Z100" s="65"/>
    </row>
    <row r="101" ht="12.75" customHeight="1">
      <c r="Z101" s="65"/>
    </row>
    <row r="102" ht="12.75" customHeight="1">
      <c r="Z102" s="65"/>
    </row>
    <row r="103" ht="12.75" customHeight="1">
      <c r="Z103" s="65"/>
    </row>
    <row r="104" ht="12.75" customHeight="1">
      <c r="Z104" s="65"/>
    </row>
    <row r="105" ht="12.75" customHeight="1">
      <c r="Z105" s="65"/>
    </row>
    <row r="106" ht="12.75" customHeight="1">
      <c r="Z106" s="65"/>
    </row>
    <row r="107" ht="12.75" customHeight="1">
      <c r="Z107" s="65"/>
    </row>
    <row r="108" ht="12.75" customHeight="1">
      <c r="Z108" s="65"/>
    </row>
    <row r="109" ht="12.75" customHeight="1">
      <c r="Z109" s="65"/>
    </row>
    <row r="110" ht="12.75" customHeight="1">
      <c r="Z110" s="65"/>
    </row>
    <row r="111" ht="12.75" customHeight="1">
      <c r="Z111" s="65"/>
    </row>
    <row r="112" ht="12.75" customHeight="1">
      <c r="Z112" s="65"/>
    </row>
    <row r="113" ht="12.75" customHeight="1">
      <c r="Z113" s="65"/>
    </row>
    <row r="114" ht="12.75" customHeight="1">
      <c r="Z114" s="65"/>
    </row>
    <row r="115" ht="12.75" customHeight="1">
      <c r="Z115" s="65"/>
    </row>
    <row r="116" ht="12.75" customHeight="1">
      <c r="Z116" s="65"/>
    </row>
    <row r="117" ht="12.75" customHeight="1">
      <c r="Z117" s="65"/>
    </row>
    <row r="118" ht="12.75" customHeight="1">
      <c r="Z118" s="65"/>
    </row>
    <row r="119" ht="12.75" customHeight="1">
      <c r="Z119" s="65"/>
    </row>
    <row r="120" ht="12.75" customHeight="1">
      <c r="Z120" s="65"/>
    </row>
    <row r="121" ht="12.75" customHeight="1">
      <c r="Z121" s="65"/>
    </row>
    <row r="122" ht="12.75" customHeight="1">
      <c r="Z122" s="65"/>
    </row>
    <row r="123" ht="12.75" customHeight="1">
      <c r="Z123" s="65"/>
    </row>
    <row r="124" ht="12.75" customHeight="1">
      <c r="Z124" s="65"/>
    </row>
    <row r="125" ht="12.75" customHeight="1">
      <c r="Z125" s="65"/>
    </row>
    <row r="126" ht="12.75" customHeight="1">
      <c r="Z126" s="65"/>
    </row>
    <row r="127" ht="12.75" customHeight="1">
      <c r="Z127" s="65"/>
    </row>
    <row r="128" ht="12.75" customHeight="1">
      <c r="Z128" s="65"/>
    </row>
    <row r="129" ht="12.75" customHeight="1">
      <c r="Z129" s="65"/>
    </row>
    <row r="130" ht="12.75" customHeight="1">
      <c r="Z130" s="65"/>
    </row>
    <row r="131" ht="12.75" customHeight="1">
      <c r="Z131" s="65"/>
    </row>
    <row r="132" ht="12.75" customHeight="1">
      <c r="Z132" s="65"/>
    </row>
    <row r="133" ht="12.75" customHeight="1">
      <c r="Z133" s="65"/>
    </row>
    <row r="134" ht="12.75" customHeight="1">
      <c r="Z134" s="65"/>
    </row>
    <row r="135" ht="12.75" customHeight="1">
      <c r="Z135" s="65"/>
    </row>
    <row r="136" ht="12.75" customHeight="1">
      <c r="Z136" s="65"/>
    </row>
    <row r="137" ht="12.75" customHeight="1">
      <c r="Z137" s="65"/>
    </row>
    <row r="138" ht="12.75" customHeight="1">
      <c r="Z138" s="65"/>
    </row>
    <row r="139" ht="12.75" customHeight="1">
      <c r="Z139" s="65"/>
    </row>
    <row r="140" ht="12.75" customHeight="1">
      <c r="Z140" s="65"/>
    </row>
    <row r="141" ht="12.75" customHeight="1">
      <c r="Z141" s="65"/>
    </row>
    <row r="142" ht="12.75" customHeight="1">
      <c r="Z142" s="65"/>
    </row>
    <row r="143" ht="12.75" customHeight="1">
      <c r="Z143" s="65"/>
    </row>
    <row r="144" ht="12.75" customHeight="1">
      <c r="Z144" s="65"/>
    </row>
    <row r="145" ht="12.75" customHeight="1">
      <c r="Z145" s="65"/>
    </row>
    <row r="146" ht="12.75" customHeight="1">
      <c r="Z146" s="65"/>
    </row>
    <row r="147" ht="12.75" customHeight="1">
      <c r="Z147" s="65"/>
    </row>
    <row r="148" ht="12.75" customHeight="1">
      <c r="Z148" s="65"/>
    </row>
    <row r="149" ht="12.75" customHeight="1">
      <c r="Z149" s="65"/>
    </row>
    <row r="150" ht="12.75" customHeight="1">
      <c r="Z150" s="65"/>
    </row>
    <row r="151" ht="12.75" customHeight="1">
      <c r="Z151" s="65"/>
    </row>
    <row r="152" ht="12.75" customHeight="1">
      <c r="Z152" s="65"/>
    </row>
    <row r="153" ht="12.75" customHeight="1">
      <c r="Z153" s="65"/>
    </row>
    <row r="154" ht="12.75" customHeight="1">
      <c r="Z154" s="65"/>
    </row>
    <row r="155" ht="12.75" customHeight="1">
      <c r="Z155" s="65"/>
    </row>
    <row r="156" ht="12.75" customHeight="1">
      <c r="Z156" s="65"/>
    </row>
    <row r="157" ht="12.75" customHeight="1">
      <c r="Z157" s="65"/>
    </row>
    <row r="158" ht="12.75" customHeight="1">
      <c r="Z158" s="65"/>
    </row>
    <row r="159" ht="12.75" customHeight="1">
      <c r="Z159" s="65"/>
    </row>
    <row r="160" ht="12.75" customHeight="1">
      <c r="Z160" s="65"/>
    </row>
    <row r="161" ht="12.75" customHeight="1">
      <c r="Z161" s="65"/>
    </row>
    <row r="162" ht="12.75" customHeight="1">
      <c r="Z162" s="65"/>
    </row>
    <row r="163" ht="12.75" customHeight="1">
      <c r="Z163" s="65"/>
    </row>
    <row r="164" ht="12.75" customHeight="1">
      <c r="Z164" s="65"/>
    </row>
    <row r="165" ht="12.75" customHeight="1">
      <c r="Z165" s="65"/>
    </row>
    <row r="166" ht="12.75" customHeight="1">
      <c r="Z166" s="65"/>
    </row>
    <row r="167" ht="12.75" customHeight="1">
      <c r="Z167" s="65"/>
    </row>
    <row r="168" ht="12.75" customHeight="1">
      <c r="Z168" s="65"/>
    </row>
    <row r="169" ht="12.75" customHeight="1">
      <c r="Z169" s="65"/>
    </row>
    <row r="170" ht="12.75" customHeight="1">
      <c r="Z170" s="65"/>
    </row>
    <row r="171" ht="12.75" customHeight="1">
      <c r="Z171" s="65"/>
    </row>
    <row r="172" ht="12.75" customHeight="1">
      <c r="Z172" s="65"/>
    </row>
    <row r="173" ht="12.75" customHeight="1">
      <c r="Z173" s="65"/>
    </row>
    <row r="174" ht="12.75" customHeight="1">
      <c r="Z174" s="65"/>
    </row>
    <row r="175" ht="12.75" customHeight="1">
      <c r="Z175" s="65"/>
    </row>
    <row r="176" ht="12.75" customHeight="1">
      <c r="Z176" s="65"/>
    </row>
    <row r="177" ht="12.75" customHeight="1">
      <c r="Z177" s="65"/>
    </row>
    <row r="178" ht="12.75" customHeight="1">
      <c r="Z178" s="65"/>
    </row>
    <row r="179" ht="12.75" customHeight="1">
      <c r="Z179" s="65"/>
    </row>
    <row r="180" ht="12.75" customHeight="1">
      <c r="Z180" s="65"/>
    </row>
    <row r="181" ht="12.75" customHeight="1">
      <c r="Z181" s="65"/>
    </row>
    <row r="182" ht="12.75" customHeight="1">
      <c r="Z182" s="65"/>
    </row>
    <row r="183" ht="12.75" customHeight="1">
      <c r="Z183" s="65"/>
    </row>
    <row r="184" ht="12.75" customHeight="1">
      <c r="Z184" s="65"/>
    </row>
    <row r="185" ht="12.75" customHeight="1">
      <c r="Z185" s="65"/>
    </row>
    <row r="186" ht="12.75" customHeight="1">
      <c r="Z186" s="65"/>
    </row>
    <row r="187" ht="12.75" customHeight="1">
      <c r="Z187" s="65"/>
    </row>
    <row r="188" ht="12.75" customHeight="1">
      <c r="Z188" s="65"/>
    </row>
    <row r="189" ht="12.75" customHeight="1">
      <c r="Z189" s="65"/>
    </row>
    <row r="190" ht="12.75" customHeight="1">
      <c r="Z190" s="65"/>
    </row>
    <row r="191" ht="12.75" customHeight="1">
      <c r="Z191" s="65"/>
    </row>
    <row r="192" ht="12.75" customHeight="1">
      <c r="Z192" s="65"/>
    </row>
    <row r="193" ht="12.75" customHeight="1">
      <c r="Z193" s="65"/>
    </row>
    <row r="194" ht="12.75" customHeight="1">
      <c r="Z194" s="65"/>
    </row>
    <row r="195" ht="12.75" customHeight="1">
      <c r="Z195" s="65"/>
    </row>
    <row r="196" ht="12.75" customHeight="1">
      <c r="Z196" s="65"/>
    </row>
    <row r="197" ht="12.75" customHeight="1">
      <c r="Z197" s="65"/>
    </row>
    <row r="198" ht="12.75" customHeight="1">
      <c r="Z198" s="65"/>
    </row>
    <row r="199" ht="12.75" customHeight="1">
      <c r="Z199" s="65"/>
    </row>
    <row r="200" ht="12.75" customHeight="1">
      <c r="Z200" s="65"/>
    </row>
    <row r="201" ht="12.75" customHeight="1">
      <c r="Z201" s="65"/>
    </row>
    <row r="202" ht="12.75" customHeight="1">
      <c r="Z202" s="65"/>
    </row>
    <row r="203" ht="12.75" customHeight="1">
      <c r="Z203" s="65"/>
    </row>
    <row r="204" ht="12.75" customHeight="1">
      <c r="Z204" s="65"/>
    </row>
    <row r="205" ht="12.75" customHeight="1">
      <c r="Z205" s="65"/>
    </row>
    <row r="206" ht="12.75" customHeight="1">
      <c r="Z206" s="65"/>
    </row>
    <row r="207" ht="12.75" customHeight="1">
      <c r="Z207" s="65"/>
    </row>
    <row r="208" ht="12.75" customHeight="1">
      <c r="Z208" s="65"/>
    </row>
    <row r="209" ht="12.75" customHeight="1">
      <c r="Z209" s="65"/>
    </row>
    <row r="210" ht="12.75" customHeight="1">
      <c r="Z210" s="65"/>
    </row>
    <row r="211" ht="12.75" customHeight="1">
      <c r="Z211" s="65"/>
    </row>
    <row r="212" ht="12.75" customHeight="1">
      <c r="Z212" s="65"/>
    </row>
    <row r="213" ht="12.75" customHeight="1">
      <c r="Z213" s="65"/>
    </row>
    <row r="214" ht="12.75" customHeight="1">
      <c r="Z214" s="65"/>
    </row>
    <row r="215" ht="12.75" customHeight="1">
      <c r="Z215" s="65"/>
    </row>
    <row r="216" ht="12.75" customHeight="1">
      <c r="Z216" s="65"/>
    </row>
    <row r="217" ht="12.75" customHeight="1">
      <c r="Z217" s="65"/>
    </row>
    <row r="218" ht="12.75" customHeight="1">
      <c r="Z218" s="65"/>
    </row>
    <row r="219" ht="12.75" customHeight="1">
      <c r="Z219" s="65"/>
    </row>
    <row r="220" ht="12.75" customHeight="1">
      <c r="Z220" s="65"/>
    </row>
    <row r="221" ht="12.75" customHeight="1">
      <c r="Z221" s="65"/>
    </row>
    <row r="222" ht="12.75" customHeight="1">
      <c r="Z222" s="65"/>
    </row>
    <row r="223" ht="12.75" customHeight="1">
      <c r="Z223" s="65"/>
    </row>
    <row r="224" ht="12.75" customHeight="1">
      <c r="Z224" s="65"/>
    </row>
    <row r="225" ht="12.75" customHeight="1">
      <c r="Z225" s="65"/>
    </row>
    <row r="226" ht="12.75" customHeight="1">
      <c r="Z226" s="65"/>
    </row>
    <row r="227" ht="12.75" customHeight="1">
      <c r="Z227" s="65"/>
    </row>
    <row r="228" ht="12.75" customHeight="1">
      <c r="Z228" s="65"/>
    </row>
    <row r="229" ht="12.75" customHeight="1">
      <c r="Z229" s="65"/>
    </row>
    <row r="230" ht="12.75" customHeight="1">
      <c r="Z230" s="65"/>
    </row>
    <row r="231" ht="12.75" customHeight="1">
      <c r="Z231" s="65"/>
    </row>
    <row r="232" ht="12.75" customHeight="1">
      <c r="Z232" s="65"/>
    </row>
    <row r="233" ht="12.75" customHeight="1">
      <c r="Z233" s="65"/>
    </row>
    <row r="234" ht="12.75" customHeight="1">
      <c r="Z234" s="65"/>
    </row>
    <row r="235" ht="12.75" customHeight="1">
      <c r="Z235" s="65"/>
    </row>
    <row r="236" ht="12.75" customHeight="1">
      <c r="Z236" s="65"/>
    </row>
    <row r="237" ht="12.75" customHeight="1">
      <c r="Z237" s="65"/>
    </row>
    <row r="238" ht="12.75" customHeight="1">
      <c r="Z238" s="65"/>
    </row>
    <row r="239" ht="12.75" customHeight="1">
      <c r="Z239" s="65"/>
    </row>
    <row r="240" ht="12.75" customHeight="1">
      <c r="Z240" s="65"/>
    </row>
    <row r="241" ht="12.75" customHeight="1">
      <c r="Z241" s="65"/>
    </row>
    <row r="242" ht="12.75" customHeight="1">
      <c r="Z242" s="65"/>
    </row>
    <row r="243" ht="12.75" customHeight="1">
      <c r="Z243" s="65"/>
    </row>
    <row r="244" ht="12.75" customHeight="1">
      <c r="Z244" s="65"/>
    </row>
    <row r="245" ht="12.75" customHeight="1">
      <c r="Z245" s="65"/>
    </row>
    <row r="246" ht="12.75" customHeight="1">
      <c r="Z246" s="65"/>
    </row>
    <row r="247" ht="12.75" customHeight="1">
      <c r="Z247" s="65"/>
    </row>
    <row r="248" ht="12.75" customHeight="1">
      <c r="Z248" s="65"/>
    </row>
    <row r="249" ht="12.75" customHeight="1">
      <c r="Z249" s="65"/>
    </row>
    <row r="250" ht="12.75" customHeight="1">
      <c r="Z250" s="65"/>
    </row>
    <row r="251" ht="12.75" customHeight="1">
      <c r="Z251" s="65"/>
    </row>
    <row r="252" ht="12.75" customHeight="1">
      <c r="Z252" s="65"/>
    </row>
    <row r="253" ht="12.75" customHeight="1">
      <c r="Z253" s="65"/>
    </row>
    <row r="254" ht="12.75" customHeight="1">
      <c r="Z254" s="65"/>
    </row>
    <row r="255" ht="12.75" customHeight="1">
      <c r="Z255" s="65"/>
    </row>
    <row r="256" ht="12.75" customHeight="1">
      <c r="Z256" s="65"/>
    </row>
    <row r="257" ht="12.75" customHeight="1">
      <c r="Z257" s="65"/>
    </row>
    <row r="258" ht="12.75" customHeight="1">
      <c r="Z258" s="65"/>
    </row>
    <row r="259" ht="12.75" customHeight="1">
      <c r="Z259" s="65"/>
    </row>
    <row r="260" ht="12.75" customHeight="1">
      <c r="Z260" s="65"/>
    </row>
    <row r="261" ht="12.75" customHeight="1">
      <c r="Z261" s="65"/>
    </row>
    <row r="262" ht="12.75" customHeight="1">
      <c r="Z262" s="65"/>
    </row>
    <row r="263" ht="12.75" customHeight="1">
      <c r="Z263" s="65"/>
    </row>
    <row r="264" ht="12.75" customHeight="1">
      <c r="Z264" s="65"/>
    </row>
    <row r="265" ht="12.75" customHeight="1">
      <c r="Z265" s="65"/>
    </row>
    <row r="266" ht="12.75" customHeight="1">
      <c r="Z266" s="65"/>
    </row>
    <row r="267" ht="12.75" customHeight="1">
      <c r="Z267" s="65"/>
    </row>
    <row r="268" ht="12.75" customHeight="1">
      <c r="Z268" s="65"/>
    </row>
    <row r="269" ht="12.75" customHeight="1">
      <c r="Z269" s="65"/>
    </row>
    <row r="270" ht="12.75" customHeight="1">
      <c r="Z270" s="65"/>
    </row>
    <row r="271" ht="12.75" customHeight="1">
      <c r="Z271" s="65"/>
    </row>
    <row r="272" ht="12.75" customHeight="1">
      <c r="Z272" s="65"/>
    </row>
    <row r="273" ht="12.75" customHeight="1">
      <c r="Z273" s="65"/>
    </row>
    <row r="274" ht="12.75" customHeight="1">
      <c r="Z274" s="65"/>
    </row>
    <row r="275" ht="12.75" customHeight="1">
      <c r="Z275" s="65"/>
    </row>
    <row r="276" ht="12.75" customHeight="1">
      <c r="Z276" s="65"/>
    </row>
    <row r="277" ht="12.75" customHeight="1">
      <c r="Z277" s="65"/>
    </row>
    <row r="278" ht="12.75" customHeight="1">
      <c r="Z278" s="65"/>
    </row>
    <row r="279" ht="12.75" customHeight="1">
      <c r="Z279" s="65"/>
    </row>
    <row r="280" ht="12.75" customHeight="1">
      <c r="Z280" s="65"/>
    </row>
    <row r="281" ht="12.75" customHeight="1">
      <c r="Z281" s="65"/>
    </row>
    <row r="282" ht="12.75" customHeight="1">
      <c r="Z282" s="65"/>
    </row>
    <row r="283" ht="12.75" customHeight="1">
      <c r="Z283" s="65"/>
    </row>
    <row r="284" ht="12.75" customHeight="1">
      <c r="Z284" s="65"/>
    </row>
    <row r="285" ht="12.75" customHeight="1">
      <c r="Z285" s="65"/>
    </row>
    <row r="286" ht="12.75" customHeight="1">
      <c r="Z286" s="65"/>
    </row>
    <row r="287" ht="12.75" customHeight="1">
      <c r="Z287" s="65"/>
    </row>
    <row r="288" ht="12.75" customHeight="1">
      <c r="Z288" s="65"/>
    </row>
    <row r="289" ht="12.75" customHeight="1">
      <c r="Z289" s="65"/>
    </row>
    <row r="290" ht="12.75" customHeight="1">
      <c r="Z290" s="65"/>
    </row>
    <row r="291" ht="12.75" customHeight="1">
      <c r="Z291" s="65"/>
    </row>
    <row r="292" ht="12.75" customHeight="1">
      <c r="Z292" s="65"/>
    </row>
    <row r="293" ht="12.75" customHeight="1">
      <c r="Z293" s="65"/>
    </row>
    <row r="294" ht="12.75" customHeight="1">
      <c r="Z294" s="65"/>
    </row>
    <row r="295" ht="12.75" customHeight="1">
      <c r="Z295" s="65"/>
    </row>
    <row r="296" ht="12.75" customHeight="1">
      <c r="Z296" s="65"/>
    </row>
    <row r="297" ht="12.75" customHeight="1">
      <c r="Z297" s="65"/>
    </row>
    <row r="298" ht="12.75" customHeight="1">
      <c r="Z298" s="65"/>
    </row>
    <row r="299" ht="12.75" customHeight="1">
      <c r="Z299" s="65"/>
    </row>
    <row r="300" ht="12.75" customHeight="1">
      <c r="Z300" s="65"/>
    </row>
    <row r="301" ht="12.75" customHeight="1">
      <c r="Z301" s="65"/>
    </row>
    <row r="302" ht="12.75" customHeight="1">
      <c r="Z302" s="65"/>
    </row>
    <row r="303" ht="12.75" customHeight="1">
      <c r="Z303" s="65"/>
    </row>
    <row r="304" ht="12.75" customHeight="1">
      <c r="Z304" s="65"/>
    </row>
    <row r="305" ht="12.75" customHeight="1">
      <c r="Z305" s="65"/>
    </row>
    <row r="306" ht="12.75" customHeight="1">
      <c r="Z306" s="65"/>
    </row>
    <row r="307" ht="12.75" customHeight="1">
      <c r="Z307" s="65"/>
    </row>
    <row r="308" ht="12.75" customHeight="1">
      <c r="Z308" s="65"/>
    </row>
    <row r="309" ht="12.75" customHeight="1">
      <c r="Z309" s="65"/>
    </row>
    <row r="310" ht="12.75" customHeight="1">
      <c r="Z310" s="65"/>
    </row>
    <row r="311" ht="12.75" customHeight="1">
      <c r="Z311" s="65"/>
    </row>
    <row r="312" ht="12.75" customHeight="1">
      <c r="Z312" s="65"/>
    </row>
    <row r="313" ht="12.75" customHeight="1">
      <c r="Z313" s="65"/>
    </row>
    <row r="314" ht="12.75" customHeight="1">
      <c r="Z314" s="65"/>
    </row>
    <row r="315" ht="12.75" customHeight="1">
      <c r="Z315" s="65"/>
    </row>
    <row r="316" ht="12.75" customHeight="1">
      <c r="Z316" s="65"/>
    </row>
    <row r="317" ht="12.75" customHeight="1">
      <c r="Z317" s="65"/>
    </row>
    <row r="318" ht="12.75" customHeight="1">
      <c r="Z318" s="65"/>
    </row>
    <row r="319" ht="12.75" customHeight="1">
      <c r="Z319" s="65"/>
    </row>
    <row r="320" ht="12.75" customHeight="1">
      <c r="Z320" s="65"/>
    </row>
    <row r="321" ht="12.75" customHeight="1">
      <c r="Z321" s="65"/>
    </row>
    <row r="322" ht="12.75" customHeight="1">
      <c r="Z322" s="65"/>
    </row>
    <row r="323" ht="12.75" customHeight="1">
      <c r="Z323" s="65"/>
    </row>
    <row r="324" ht="12.75" customHeight="1">
      <c r="Z324" s="65"/>
    </row>
    <row r="325" ht="12.75" customHeight="1">
      <c r="Z325" s="65"/>
    </row>
    <row r="326" ht="12.75" customHeight="1">
      <c r="Z326" s="65"/>
    </row>
    <row r="327" ht="12.75" customHeight="1">
      <c r="Z327" s="65"/>
    </row>
    <row r="328" ht="12.75" customHeight="1">
      <c r="Z328" s="65"/>
    </row>
    <row r="329" ht="12.75" customHeight="1">
      <c r="Z329" s="65"/>
    </row>
    <row r="330" ht="12.75" customHeight="1">
      <c r="Z330" s="65"/>
    </row>
    <row r="331" ht="12.75" customHeight="1">
      <c r="Z331" s="65"/>
    </row>
    <row r="332" ht="12.75" customHeight="1">
      <c r="Z332" s="65"/>
    </row>
    <row r="333" ht="12.75" customHeight="1">
      <c r="Z333" s="65"/>
    </row>
    <row r="334" ht="12.75" customHeight="1">
      <c r="Z334" s="65"/>
    </row>
    <row r="335" ht="12.75" customHeight="1">
      <c r="Z335" s="65"/>
    </row>
    <row r="336" ht="12.75" customHeight="1">
      <c r="Z336" s="65"/>
    </row>
    <row r="337" ht="12.75" customHeight="1">
      <c r="Z337" s="65"/>
    </row>
    <row r="338" ht="12.75" customHeight="1">
      <c r="Z338" s="65"/>
    </row>
    <row r="339" ht="12.75" customHeight="1">
      <c r="Z339" s="65"/>
    </row>
    <row r="340" ht="12.75" customHeight="1">
      <c r="Z340" s="65"/>
    </row>
    <row r="341" ht="12.75" customHeight="1">
      <c r="Z341" s="65"/>
    </row>
    <row r="342" ht="12.75" customHeight="1">
      <c r="Z342" s="65"/>
    </row>
    <row r="343" ht="12.75" customHeight="1">
      <c r="Z343" s="65"/>
    </row>
    <row r="344" ht="12.75" customHeight="1">
      <c r="Z344" s="65"/>
    </row>
    <row r="345" ht="12.75" customHeight="1">
      <c r="Z345" s="65"/>
    </row>
    <row r="346" ht="12.75" customHeight="1">
      <c r="Z346" s="65"/>
    </row>
    <row r="347" ht="12.75" customHeight="1">
      <c r="Z347" s="65"/>
    </row>
    <row r="348" ht="12.75" customHeight="1">
      <c r="Z348" s="65"/>
    </row>
    <row r="349" ht="12.75" customHeight="1">
      <c r="Z349" s="65"/>
    </row>
    <row r="350" ht="12.75" customHeight="1">
      <c r="Z350" s="65"/>
    </row>
    <row r="351" ht="12.75" customHeight="1">
      <c r="Z351" s="65"/>
    </row>
    <row r="352" ht="12.75" customHeight="1">
      <c r="Z352" s="65"/>
    </row>
    <row r="353" ht="12.75" customHeight="1">
      <c r="Z353" s="65"/>
    </row>
    <row r="354" ht="12.75" customHeight="1">
      <c r="Z354" s="65"/>
    </row>
    <row r="355" ht="12.75" customHeight="1">
      <c r="Z355" s="65"/>
    </row>
    <row r="356" ht="12.75" customHeight="1">
      <c r="Z356" s="65"/>
    </row>
    <row r="357" ht="12.75" customHeight="1">
      <c r="Z357" s="65"/>
    </row>
    <row r="358" ht="12.75" customHeight="1">
      <c r="Z358" s="65"/>
    </row>
    <row r="359" ht="12.75" customHeight="1">
      <c r="Z359" s="65"/>
    </row>
    <row r="360" ht="12.75" customHeight="1">
      <c r="Z360" s="65"/>
    </row>
    <row r="361" ht="12.75" customHeight="1">
      <c r="Z361" s="65"/>
    </row>
    <row r="362" ht="12.75" customHeight="1">
      <c r="Z362" s="65"/>
    </row>
    <row r="363" ht="12.75" customHeight="1">
      <c r="Z363" s="65"/>
    </row>
    <row r="364" ht="12.75" customHeight="1">
      <c r="Z364" s="65"/>
    </row>
    <row r="365" ht="12.75" customHeight="1">
      <c r="Z365" s="65"/>
    </row>
    <row r="366" ht="12.75" customHeight="1">
      <c r="Z366" s="65"/>
    </row>
    <row r="367" ht="12.75" customHeight="1">
      <c r="Z367" s="65"/>
    </row>
    <row r="368" ht="12.75" customHeight="1">
      <c r="Z368" s="65"/>
    </row>
    <row r="369" ht="12.75" customHeight="1">
      <c r="Z369" s="65"/>
    </row>
    <row r="370" ht="12.75" customHeight="1">
      <c r="Z370" s="65"/>
    </row>
    <row r="371" ht="12.75" customHeight="1">
      <c r="Z371" s="65"/>
    </row>
    <row r="372" ht="12.75" customHeight="1">
      <c r="Z372" s="65"/>
    </row>
    <row r="373" ht="12.75" customHeight="1">
      <c r="Z373" s="65"/>
    </row>
    <row r="374" ht="12.75" customHeight="1">
      <c r="Z374" s="65"/>
    </row>
    <row r="375" ht="12.75" customHeight="1">
      <c r="Z375" s="65"/>
    </row>
    <row r="376" ht="12.75" customHeight="1">
      <c r="Z376" s="65"/>
    </row>
    <row r="377" ht="12.75" customHeight="1">
      <c r="Z377" s="65"/>
    </row>
    <row r="378" ht="12.75" customHeight="1">
      <c r="Z378" s="65"/>
    </row>
    <row r="379" ht="12.75" customHeight="1">
      <c r="Z379" s="65"/>
    </row>
    <row r="380" ht="12.75" customHeight="1">
      <c r="Z380" s="65"/>
    </row>
    <row r="381" ht="12.75" customHeight="1">
      <c r="Z381" s="65"/>
    </row>
    <row r="382" ht="12.75" customHeight="1">
      <c r="Z382" s="65"/>
    </row>
    <row r="383" ht="12.75" customHeight="1">
      <c r="Z383" s="65"/>
    </row>
    <row r="384" ht="12.75" customHeight="1">
      <c r="Z384" s="65"/>
    </row>
    <row r="385" ht="12.75" customHeight="1">
      <c r="Z385" s="65"/>
    </row>
    <row r="386" ht="12.75" customHeight="1">
      <c r="Z386" s="65"/>
    </row>
    <row r="387" ht="12.75" customHeight="1">
      <c r="Z387" s="65"/>
    </row>
    <row r="388" ht="12.75" customHeight="1">
      <c r="Z388" s="65"/>
    </row>
    <row r="389" ht="12.75" customHeight="1">
      <c r="Z389" s="65"/>
    </row>
    <row r="390" ht="12.75" customHeight="1">
      <c r="Z390" s="65"/>
    </row>
    <row r="391" ht="12.75" customHeight="1">
      <c r="Z391" s="65"/>
    </row>
    <row r="392" ht="12.75" customHeight="1">
      <c r="Z392" s="65"/>
    </row>
    <row r="393" ht="12.75" customHeight="1">
      <c r="Z393" s="65"/>
    </row>
    <row r="394" ht="12.75" customHeight="1">
      <c r="Z394" s="65"/>
    </row>
    <row r="395" ht="12.75" customHeight="1">
      <c r="Z395" s="65"/>
    </row>
    <row r="396" ht="12.75" customHeight="1">
      <c r="Z396" s="65"/>
    </row>
    <row r="397" ht="12.75" customHeight="1">
      <c r="Z397" s="65"/>
    </row>
    <row r="398" ht="12.75" customHeight="1">
      <c r="Z398" s="65"/>
    </row>
    <row r="399" ht="12.75" customHeight="1">
      <c r="Z399" s="65"/>
    </row>
    <row r="400" ht="12.75" customHeight="1">
      <c r="Z400" s="65"/>
    </row>
    <row r="401" ht="12.75" customHeight="1">
      <c r="Z401" s="65"/>
    </row>
    <row r="402" ht="12.75" customHeight="1">
      <c r="Z402" s="65"/>
    </row>
    <row r="403" ht="12.75" customHeight="1">
      <c r="Z403" s="65"/>
    </row>
    <row r="404" ht="12.75" customHeight="1">
      <c r="Z404" s="65"/>
    </row>
    <row r="405" ht="12.75" customHeight="1">
      <c r="Z405" s="65"/>
    </row>
    <row r="406" ht="12.75" customHeight="1">
      <c r="Z406" s="65"/>
    </row>
    <row r="407" ht="12.75" customHeight="1">
      <c r="Z407" s="65"/>
    </row>
    <row r="408" ht="12.75" customHeight="1">
      <c r="Z408" s="65"/>
    </row>
    <row r="409" ht="12.75" customHeight="1">
      <c r="Z409" s="65"/>
    </row>
    <row r="410" ht="12.75" customHeight="1">
      <c r="Z410" s="65"/>
    </row>
    <row r="411" ht="12.75" customHeight="1">
      <c r="Z411" s="65"/>
    </row>
    <row r="412" ht="12.75" customHeight="1">
      <c r="Z412" s="65"/>
    </row>
    <row r="413" ht="12.75" customHeight="1">
      <c r="Z413" s="65"/>
    </row>
    <row r="414" ht="12.75" customHeight="1">
      <c r="Z414" s="65"/>
    </row>
    <row r="415" ht="12.75" customHeight="1">
      <c r="Z415" s="65"/>
    </row>
    <row r="416" ht="12.75" customHeight="1">
      <c r="Z416" s="65"/>
    </row>
    <row r="417" ht="12.75" customHeight="1">
      <c r="Z417" s="65"/>
    </row>
    <row r="418" ht="12.75" customHeight="1">
      <c r="Z418" s="65"/>
    </row>
    <row r="419" ht="12.75" customHeight="1">
      <c r="Z419" s="65"/>
    </row>
    <row r="420" ht="12.75" customHeight="1">
      <c r="Z420" s="65"/>
    </row>
    <row r="421" ht="12.75" customHeight="1">
      <c r="Z421" s="65"/>
    </row>
    <row r="422" ht="12.75" customHeight="1">
      <c r="Z422" s="65"/>
    </row>
    <row r="423" ht="12.75" customHeight="1">
      <c r="Z423" s="65"/>
    </row>
    <row r="424" ht="12.75" customHeight="1">
      <c r="Z424" s="65"/>
    </row>
    <row r="425" ht="12.75" customHeight="1">
      <c r="Z425" s="65"/>
    </row>
    <row r="426" ht="12.75" customHeight="1">
      <c r="Z426" s="65"/>
    </row>
    <row r="427" ht="12.75" customHeight="1">
      <c r="Z427" s="65"/>
    </row>
    <row r="428" ht="12.75" customHeight="1">
      <c r="Z428" s="65"/>
    </row>
    <row r="429" ht="12.75" customHeight="1">
      <c r="Z429" s="65"/>
    </row>
    <row r="430" ht="12.75" customHeight="1">
      <c r="Z430" s="65"/>
    </row>
    <row r="431" ht="12.75" customHeight="1">
      <c r="Z431" s="65"/>
    </row>
    <row r="432" ht="12.75" customHeight="1">
      <c r="Z432" s="65"/>
    </row>
    <row r="433" ht="12.75" customHeight="1">
      <c r="Z433" s="65"/>
    </row>
    <row r="434" ht="12.75" customHeight="1">
      <c r="Z434" s="65"/>
    </row>
    <row r="435" ht="12.75" customHeight="1">
      <c r="Z435" s="65"/>
    </row>
    <row r="436" ht="12.75" customHeight="1">
      <c r="Z436" s="65"/>
    </row>
    <row r="437" ht="12.75" customHeight="1">
      <c r="Z437" s="65"/>
    </row>
    <row r="438" ht="12.75" customHeight="1">
      <c r="Z438" s="65"/>
    </row>
    <row r="439" ht="12.75" customHeight="1">
      <c r="Z439" s="65"/>
    </row>
    <row r="440" ht="12.75" customHeight="1">
      <c r="Z440" s="65"/>
    </row>
    <row r="441" ht="12.75" customHeight="1">
      <c r="Z441" s="65"/>
    </row>
    <row r="442" ht="12.75" customHeight="1">
      <c r="Z442" s="65"/>
    </row>
    <row r="443" ht="12.75" customHeight="1">
      <c r="Z443" s="65"/>
    </row>
    <row r="444" ht="12.75" customHeight="1">
      <c r="Z444" s="65"/>
    </row>
    <row r="445" ht="12.75" customHeight="1">
      <c r="Z445" s="65"/>
    </row>
    <row r="446" ht="12.75" customHeight="1">
      <c r="Z446" s="65"/>
    </row>
    <row r="447" ht="12.75" customHeight="1">
      <c r="Z447" s="65"/>
    </row>
    <row r="448" ht="12.75" customHeight="1">
      <c r="Z448" s="65"/>
    </row>
    <row r="449" ht="12.75" customHeight="1">
      <c r="Z449" s="65"/>
    </row>
    <row r="450" ht="12.75" customHeight="1">
      <c r="Z450" s="65"/>
    </row>
    <row r="451" ht="12.75" customHeight="1">
      <c r="Z451" s="65"/>
    </row>
    <row r="452" ht="12.75" customHeight="1">
      <c r="Z452" s="65"/>
    </row>
    <row r="453" ht="12.75" customHeight="1">
      <c r="Z453" s="65"/>
    </row>
    <row r="454" ht="12.75" customHeight="1">
      <c r="Z454" s="65"/>
    </row>
    <row r="455" ht="12.75" customHeight="1">
      <c r="Z455" s="65"/>
    </row>
    <row r="456" ht="12.75" customHeight="1">
      <c r="Z456" s="65"/>
    </row>
    <row r="457" ht="12.75" customHeight="1">
      <c r="Z457" s="65"/>
    </row>
    <row r="458" ht="12.75" customHeight="1">
      <c r="Z458" s="65"/>
    </row>
    <row r="459" ht="12.75" customHeight="1">
      <c r="Z459" s="65"/>
    </row>
    <row r="460" ht="12.75" customHeight="1">
      <c r="Z460" s="65"/>
    </row>
    <row r="461" ht="12.75" customHeight="1">
      <c r="Z461" s="65"/>
    </row>
    <row r="462" ht="12.75" customHeight="1">
      <c r="Z462" s="65"/>
    </row>
    <row r="463" ht="12.75" customHeight="1">
      <c r="Z463" s="65"/>
    </row>
    <row r="464" ht="12.75" customHeight="1">
      <c r="Z464" s="65"/>
    </row>
    <row r="465" ht="12.75" customHeight="1">
      <c r="Z465" s="65"/>
    </row>
    <row r="466" ht="12.75" customHeight="1">
      <c r="Z466" s="65"/>
    </row>
    <row r="467" ht="12.75" customHeight="1">
      <c r="Z467" s="65"/>
    </row>
    <row r="468" ht="12.75" customHeight="1">
      <c r="Z468" s="65"/>
    </row>
    <row r="469" ht="12.75" customHeight="1">
      <c r="Z469" s="65"/>
    </row>
    <row r="470" ht="12.75" customHeight="1">
      <c r="Z470" s="65"/>
    </row>
    <row r="471" ht="12.75" customHeight="1">
      <c r="Z471" s="65"/>
    </row>
    <row r="472" ht="12.75" customHeight="1">
      <c r="Z472" s="65"/>
    </row>
    <row r="473" ht="12.75" customHeight="1">
      <c r="Z473" s="65"/>
    </row>
    <row r="474" ht="12.75" customHeight="1">
      <c r="Z474" s="65"/>
    </row>
    <row r="475" ht="12.75" customHeight="1">
      <c r="Z475" s="65"/>
    </row>
    <row r="476" ht="12.75" customHeight="1">
      <c r="Z476" s="65"/>
    </row>
    <row r="477" ht="12.75" customHeight="1">
      <c r="Z477" s="65"/>
    </row>
    <row r="478" ht="12.75" customHeight="1">
      <c r="Z478" s="65"/>
    </row>
    <row r="479" ht="12.75" customHeight="1">
      <c r="Z479" s="65"/>
    </row>
    <row r="480" ht="12.75" customHeight="1">
      <c r="Z480" s="65"/>
    </row>
    <row r="481" ht="12.75" customHeight="1">
      <c r="Z481" s="65"/>
    </row>
    <row r="482" ht="12.75" customHeight="1">
      <c r="Z482" s="65"/>
    </row>
    <row r="483" ht="12.75" customHeight="1">
      <c r="Z483" s="65"/>
    </row>
    <row r="484" ht="12.75" customHeight="1">
      <c r="Z484" s="65"/>
    </row>
    <row r="485" ht="12.75" customHeight="1">
      <c r="Z485" s="65"/>
    </row>
    <row r="486" ht="12.75" customHeight="1">
      <c r="Z486" s="65"/>
    </row>
    <row r="487" ht="12.75" customHeight="1">
      <c r="Z487" s="65"/>
    </row>
    <row r="488" ht="12.75" customHeight="1">
      <c r="Z488" s="65"/>
    </row>
    <row r="489" ht="12.75" customHeight="1">
      <c r="Z489" s="65"/>
    </row>
    <row r="490" ht="12.75" customHeight="1">
      <c r="Z490" s="65"/>
    </row>
    <row r="491" ht="12.75" customHeight="1">
      <c r="Z491" s="65"/>
    </row>
    <row r="492" ht="12.75" customHeight="1">
      <c r="Z492" s="65"/>
    </row>
    <row r="493" ht="12.75" customHeight="1">
      <c r="Z493" s="65"/>
    </row>
    <row r="494" ht="12.75" customHeight="1">
      <c r="Z494" s="65"/>
    </row>
    <row r="495" ht="12.75" customHeight="1">
      <c r="Z495" s="65"/>
    </row>
    <row r="496" ht="12.75" customHeight="1">
      <c r="Z496" s="65"/>
    </row>
    <row r="497" ht="12.75" customHeight="1">
      <c r="Z497" s="65"/>
    </row>
    <row r="498" ht="12.75" customHeight="1">
      <c r="Z498" s="65"/>
    </row>
    <row r="499" ht="12.75" customHeight="1">
      <c r="Z499" s="65"/>
    </row>
    <row r="500" ht="12.75" customHeight="1">
      <c r="Z500" s="65"/>
    </row>
    <row r="501" ht="12.75" customHeight="1">
      <c r="Z501" s="65"/>
    </row>
    <row r="502" ht="12.75" customHeight="1">
      <c r="Z502" s="65"/>
    </row>
    <row r="503" ht="12.75" customHeight="1">
      <c r="Z503" s="65"/>
    </row>
    <row r="504" ht="12.75" customHeight="1">
      <c r="Z504" s="65"/>
    </row>
    <row r="505" ht="12.75" customHeight="1">
      <c r="Z505" s="65"/>
    </row>
    <row r="506" ht="12.75" customHeight="1">
      <c r="Z506" s="65"/>
    </row>
    <row r="507" ht="12.75" customHeight="1">
      <c r="Z507" s="65"/>
    </row>
    <row r="508" ht="12.75" customHeight="1">
      <c r="Z508" s="65"/>
    </row>
    <row r="509" ht="12.75" customHeight="1">
      <c r="Z509" s="65"/>
    </row>
    <row r="510" ht="12.75" customHeight="1">
      <c r="Z510" s="65"/>
    </row>
    <row r="511" ht="12.75" customHeight="1">
      <c r="Z511" s="65"/>
    </row>
    <row r="512" ht="12.75" customHeight="1">
      <c r="Z512" s="65"/>
    </row>
    <row r="513" ht="12.75" customHeight="1">
      <c r="Z513" s="65"/>
    </row>
    <row r="514" ht="12.75" customHeight="1">
      <c r="Z514" s="65"/>
    </row>
    <row r="515" ht="12.75" customHeight="1">
      <c r="Z515" s="65"/>
    </row>
    <row r="516" ht="12.75" customHeight="1">
      <c r="Z516" s="65"/>
    </row>
    <row r="517" ht="12.75" customHeight="1">
      <c r="Z517" s="65"/>
    </row>
    <row r="518" ht="12.75" customHeight="1">
      <c r="Z518" s="65"/>
    </row>
    <row r="519" ht="12.75" customHeight="1">
      <c r="Z519" s="65"/>
    </row>
    <row r="520" ht="12.75" customHeight="1">
      <c r="Z520" s="65"/>
    </row>
    <row r="521" ht="12.75" customHeight="1">
      <c r="Z521" s="65"/>
    </row>
    <row r="522" ht="12.75" customHeight="1">
      <c r="Z522" s="65"/>
    </row>
    <row r="523" ht="12.75" customHeight="1">
      <c r="Z523" s="65"/>
    </row>
    <row r="524" ht="12.75" customHeight="1">
      <c r="Z524" s="65"/>
    </row>
    <row r="525" ht="12.75" customHeight="1">
      <c r="Z525" s="65"/>
    </row>
    <row r="526" ht="12.75" customHeight="1">
      <c r="Z526" s="65"/>
    </row>
    <row r="527" ht="12.75" customHeight="1">
      <c r="Z527" s="65"/>
    </row>
    <row r="528" ht="12.75" customHeight="1">
      <c r="Z528" s="65"/>
    </row>
    <row r="529" ht="12.75" customHeight="1">
      <c r="Z529" s="65"/>
    </row>
    <row r="530" ht="12.75" customHeight="1">
      <c r="Z530" s="65"/>
    </row>
    <row r="531" ht="12.75" customHeight="1">
      <c r="Z531" s="65"/>
    </row>
    <row r="532" ht="12.75" customHeight="1">
      <c r="Z532" s="65"/>
    </row>
    <row r="533" ht="12.75" customHeight="1">
      <c r="Z533" s="65"/>
    </row>
    <row r="534" ht="12.75" customHeight="1">
      <c r="Z534" s="65"/>
    </row>
    <row r="535" ht="12.75" customHeight="1">
      <c r="Z535" s="65"/>
    </row>
    <row r="536" ht="12.75" customHeight="1">
      <c r="Z536" s="65"/>
    </row>
    <row r="537" ht="12.75" customHeight="1">
      <c r="Z537" s="65"/>
    </row>
    <row r="538" ht="12.75" customHeight="1">
      <c r="Z538" s="65"/>
    </row>
    <row r="539" ht="12.75" customHeight="1">
      <c r="Z539" s="65"/>
    </row>
    <row r="540" ht="12.75" customHeight="1">
      <c r="Z540" s="65"/>
    </row>
    <row r="541" ht="12.75" customHeight="1">
      <c r="Z541" s="65"/>
    </row>
    <row r="542" ht="12.75" customHeight="1">
      <c r="Z542" s="65"/>
    </row>
    <row r="543" ht="12.75" customHeight="1">
      <c r="Z543" s="65"/>
    </row>
    <row r="544" ht="12.75" customHeight="1">
      <c r="Z544" s="65"/>
    </row>
    <row r="545" ht="12.75" customHeight="1">
      <c r="Z545" s="65"/>
    </row>
    <row r="546" ht="12.75" customHeight="1">
      <c r="Z546" s="65"/>
    </row>
    <row r="547" ht="12.75" customHeight="1">
      <c r="Z547" s="65"/>
    </row>
    <row r="548" ht="12.75" customHeight="1">
      <c r="Z548" s="65"/>
    </row>
    <row r="549" ht="12.75" customHeight="1">
      <c r="Z549" s="65"/>
    </row>
    <row r="550" ht="12.75" customHeight="1">
      <c r="Z550" s="65"/>
    </row>
    <row r="551" ht="12.75" customHeight="1">
      <c r="Z551" s="65"/>
    </row>
    <row r="552" ht="12.75" customHeight="1">
      <c r="Z552" s="65"/>
    </row>
    <row r="553" ht="12.75" customHeight="1">
      <c r="Z553" s="65"/>
    </row>
    <row r="554" ht="12.75" customHeight="1">
      <c r="Z554" s="65"/>
    </row>
    <row r="555" ht="12.75" customHeight="1">
      <c r="Z555" s="65"/>
    </row>
    <row r="556" ht="12.75" customHeight="1">
      <c r="Z556" s="65"/>
    </row>
    <row r="557" ht="12.75" customHeight="1">
      <c r="Z557" s="65"/>
    </row>
    <row r="558" ht="12.75" customHeight="1">
      <c r="Z558" s="65"/>
    </row>
    <row r="559" ht="12.75" customHeight="1">
      <c r="Z559" s="65"/>
    </row>
    <row r="560" ht="12.75" customHeight="1">
      <c r="Z560" s="65"/>
    </row>
    <row r="561" ht="12.75" customHeight="1">
      <c r="Z561" s="65"/>
    </row>
    <row r="562" ht="12.75" customHeight="1">
      <c r="Z562" s="65"/>
    </row>
    <row r="563" ht="12.75" customHeight="1">
      <c r="Z563" s="65"/>
    </row>
    <row r="564" ht="12.75" customHeight="1">
      <c r="Z564" s="65"/>
    </row>
    <row r="565" ht="12.75" customHeight="1">
      <c r="Z565" s="65"/>
    </row>
    <row r="566" ht="12.75" customHeight="1">
      <c r="Z566" s="65"/>
    </row>
    <row r="567" ht="12.75" customHeight="1">
      <c r="Z567" s="65"/>
    </row>
    <row r="568" ht="12.75" customHeight="1">
      <c r="Z568" s="65"/>
    </row>
    <row r="569" ht="12.75" customHeight="1">
      <c r="Z569" s="65"/>
    </row>
    <row r="570" ht="12.75" customHeight="1">
      <c r="Z570" s="65"/>
    </row>
    <row r="571" ht="12.75" customHeight="1">
      <c r="Z571" s="65"/>
    </row>
    <row r="572" ht="12.75" customHeight="1">
      <c r="Z572" s="65"/>
    </row>
    <row r="573" ht="12.75" customHeight="1">
      <c r="Z573" s="65"/>
    </row>
    <row r="574" ht="12.75" customHeight="1">
      <c r="Z574" s="65"/>
    </row>
    <row r="575" ht="12.75" customHeight="1">
      <c r="Z575" s="65"/>
    </row>
    <row r="576" ht="12.75" customHeight="1">
      <c r="Z576" s="65"/>
    </row>
    <row r="577" ht="12.75" customHeight="1">
      <c r="Z577" s="65"/>
    </row>
    <row r="578" ht="12.75" customHeight="1">
      <c r="Z578" s="65"/>
    </row>
    <row r="579" ht="12.75" customHeight="1">
      <c r="Z579" s="65"/>
    </row>
    <row r="580" ht="12.75" customHeight="1">
      <c r="Z580" s="65"/>
    </row>
    <row r="581" ht="12.75" customHeight="1">
      <c r="Z581" s="65"/>
    </row>
    <row r="582" ht="12.75" customHeight="1">
      <c r="Z582" s="65"/>
    </row>
    <row r="583" ht="12.75" customHeight="1">
      <c r="Z583" s="65"/>
    </row>
    <row r="584" ht="12.75" customHeight="1">
      <c r="Z584" s="65"/>
    </row>
    <row r="585" ht="12.75" customHeight="1">
      <c r="Z585" s="65"/>
    </row>
    <row r="586" ht="12.75" customHeight="1">
      <c r="Z586" s="65"/>
    </row>
    <row r="587" ht="12.75" customHeight="1">
      <c r="Z587" s="65"/>
    </row>
    <row r="588" ht="12.75" customHeight="1">
      <c r="Z588" s="65"/>
    </row>
    <row r="589" ht="12.75" customHeight="1">
      <c r="Z589" s="65"/>
    </row>
    <row r="590" ht="12.75" customHeight="1">
      <c r="Z590" s="65"/>
    </row>
    <row r="591" ht="12.75" customHeight="1">
      <c r="Z591" s="65"/>
    </row>
    <row r="592" ht="12.75" customHeight="1">
      <c r="Z592" s="65"/>
    </row>
    <row r="593" ht="12.75" customHeight="1">
      <c r="Z593" s="65"/>
    </row>
    <row r="594" ht="12.75" customHeight="1">
      <c r="Z594" s="65"/>
    </row>
    <row r="595" ht="12.75" customHeight="1">
      <c r="Z595" s="65"/>
    </row>
    <row r="596" ht="12.75" customHeight="1">
      <c r="Z596" s="65"/>
    </row>
    <row r="597" ht="12.75" customHeight="1">
      <c r="Z597" s="65"/>
    </row>
    <row r="598" ht="12.75" customHeight="1">
      <c r="Z598" s="65"/>
    </row>
    <row r="599" ht="12.75" customHeight="1">
      <c r="Z599" s="65"/>
    </row>
    <row r="600" ht="12.75" customHeight="1">
      <c r="Z600" s="65"/>
    </row>
    <row r="601" ht="12.75" customHeight="1">
      <c r="Z601" s="65"/>
    </row>
    <row r="602" ht="12.75" customHeight="1">
      <c r="Z602" s="65"/>
    </row>
    <row r="603" ht="12.75" customHeight="1">
      <c r="Z603" s="65"/>
    </row>
    <row r="604" ht="12.75" customHeight="1">
      <c r="Z604" s="65"/>
    </row>
    <row r="605" ht="12.75" customHeight="1">
      <c r="Z605" s="65"/>
    </row>
    <row r="606" ht="12.75" customHeight="1">
      <c r="Z606" s="65"/>
    </row>
    <row r="607" ht="12.75" customHeight="1">
      <c r="Z607" s="65"/>
    </row>
    <row r="608" ht="12.75" customHeight="1">
      <c r="Z608" s="65"/>
    </row>
    <row r="609" ht="12.75" customHeight="1">
      <c r="Z609" s="65"/>
    </row>
    <row r="610" ht="12.75" customHeight="1">
      <c r="Z610" s="65"/>
    </row>
    <row r="611" ht="12.75" customHeight="1">
      <c r="Z611" s="65"/>
    </row>
    <row r="612" ht="12.75" customHeight="1">
      <c r="Z612" s="65"/>
    </row>
    <row r="613" ht="12.75" customHeight="1">
      <c r="Z613" s="65"/>
    </row>
    <row r="614" ht="12.75" customHeight="1">
      <c r="Z614" s="65"/>
    </row>
    <row r="615" ht="12.75" customHeight="1">
      <c r="Z615" s="65"/>
    </row>
    <row r="616" ht="12.75" customHeight="1">
      <c r="Z616" s="65"/>
    </row>
    <row r="617" ht="12.75" customHeight="1">
      <c r="Z617" s="65"/>
    </row>
    <row r="618" ht="12.75" customHeight="1">
      <c r="Z618" s="65"/>
    </row>
    <row r="619" ht="12.75" customHeight="1">
      <c r="Z619" s="65"/>
    </row>
    <row r="620" ht="12.75" customHeight="1">
      <c r="Z620" s="65"/>
    </row>
    <row r="621" ht="12.75" customHeight="1">
      <c r="Z621" s="65"/>
    </row>
    <row r="622" ht="12.75" customHeight="1">
      <c r="Z622" s="65"/>
    </row>
    <row r="623" ht="12.75" customHeight="1">
      <c r="Z623" s="65"/>
    </row>
    <row r="624" ht="12.75" customHeight="1">
      <c r="Z624" s="65"/>
    </row>
    <row r="625" ht="12.75" customHeight="1">
      <c r="Z625" s="65"/>
    </row>
    <row r="626" ht="12.75" customHeight="1">
      <c r="Z626" s="65"/>
    </row>
    <row r="627" ht="12.75" customHeight="1">
      <c r="Z627" s="65"/>
    </row>
    <row r="628" ht="12.75" customHeight="1">
      <c r="Z628" s="65"/>
    </row>
    <row r="629" ht="12.75" customHeight="1">
      <c r="Z629" s="65"/>
    </row>
    <row r="630" ht="12.75" customHeight="1">
      <c r="Z630" s="65"/>
    </row>
    <row r="631" ht="12.75" customHeight="1">
      <c r="Z631" s="65"/>
    </row>
    <row r="632" ht="12.75" customHeight="1">
      <c r="Z632" s="65"/>
    </row>
    <row r="633" ht="12.75" customHeight="1">
      <c r="Z633" s="65"/>
    </row>
    <row r="634" ht="12.75" customHeight="1">
      <c r="Z634" s="65"/>
    </row>
    <row r="635" ht="12.75" customHeight="1">
      <c r="Z635" s="65"/>
    </row>
    <row r="636" ht="12.75" customHeight="1">
      <c r="Z636" s="65"/>
    </row>
    <row r="637" ht="12.75" customHeight="1">
      <c r="Z637" s="65"/>
    </row>
    <row r="638" ht="12.75" customHeight="1">
      <c r="Z638" s="65"/>
    </row>
    <row r="639" ht="12.75" customHeight="1">
      <c r="Z639" s="65"/>
    </row>
    <row r="640" ht="12.75" customHeight="1">
      <c r="Z640" s="65"/>
    </row>
    <row r="641" ht="12.75" customHeight="1">
      <c r="Z641" s="65"/>
    </row>
    <row r="642" ht="12.75" customHeight="1">
      <c r="Z642" s="65"/>
    </row>
    <row r="643" ht="12.75" customHeight="1">
      <c r="Z643" s="65"/>
    </row>
    <row r="644" ht="12.75" customHeight="1">
      <c r="Z644" s="65"/>
    </row>
    <row r="645" ht="12.75" customHeight="1">
      <c r="Z645" s="65"/>
    </row>
    <row r="646" ht="12.75" customHeight="1">
      <c r="Z646" s="65"/>
    </row>
    <row r="647" ht="12.75" customHeight="1">
      <c r="Z647" s="65"/>
    </row>
    <row r="648" ht="12.75" customHeight="1">
      <c r="Z648" s="65"/>
    </row>
    <row r="649" ht="12.75" customHeight="1">
      <c r="Z649" s="65"/>
    </row>
    <row r="650" ht="12.75" customHeight="1">
      <c r="Z650" s="65"/>
    </row>
    <row r="651" ht="12.75" customHeight="1">
      <c r="Z651" s="65"/>
    </row>
    <row r="652" ht="12.75" customHeight="1">
      <c r="Z652" s="65"/>
    </row>
    <row r="653" ht="12.75" customHeight="1">
      <c r="Z653" s="65"/>
    </row>
    <row r="654" ht="12.75" customHeight="1">
      <c r="Z654" s="65"/>
    </row>
    <row r="655" ht="12.75" customHeight="1">
      <c r="Z655" s="65"/>
    </row>
    <row r="656" ht="12.75" customHeight="1">
      <c r="Z656" s="65"/>
    </row>
    <row r="657" ht="12.75" customHeight="1">
      <c r="Z657" s="65"/>
    </row>
    <row r="658" ht="12.75" customHeight="1">
      <c r="Z658" s="65"/>
    </row>
    <row r="659" ht="12.75" customHeight="1">
      <c r="Z659" s="65"/>
    </row>
    <row r="660" ht="12.75" customHeight="1">
      <c r="Z660" s="65"/>
    </row>
    <row r="661" ht="12.75" customHeight="1">
      <c r="Z661" s="65"/>
    </row>
    <row r="662" ht="12.75" customHeight="1">
      <c r="Z662" s="65"/>
    </row>
    <row r="663" ht="12.75" customHeight="1">
      <c r="Z663" s="65"/>
    </row>
    <row r="664" ht="12.75" customHeight="1">
      <c r="Z664" s="65"/>
    </row>
    <row r="665" ht="12.75" customHeight="1">
      <c r="Z665" s="65"/>
    </row>
    <row r="666" ht="12.75" customHeight="1">
      <c r="Z666" s="65"/>
    </row>
    <row r="667" ht="12.75" customHeight="1">
      <c r="Z667" s="65"/>
    </row>
    <row r="668" ht="12.75" customHeight="1">
      <c r="Z668" s="65"/>
    </row>
    <row r="669" ht="12.75" customHeight="1">
      <c r="Z669" s="65"/>
    </row>
    <row r="670" ht="12.75" customHeight="1">
      <c r="Z670" s="65"/>
    </row>
    <row r="671" ht="12.75" customHeight="1">
      <c r="Z671" s="65"/>
    </row>
    <row r="672" ht="12.75" customHeight="1">
      <c r="Z672" s="65"/>
    </row>
    <row r="673" ht="12.75" customHeight="1">
      <c r="Z673" s="65"/>
    </row>
    <row r="674" ht="12.75" customHeight="1">
      <c r="Z674" s="65"/>
    </row>
    <row r="675" ht="12.75" customHeight="1">
      <c r="Z675" s="65"/>
    </row>
    <row r="676" ht="12.75" customHeight="1">
      <c r="Z676" s="65"/>
    </row>
    <row r="677" ht="12.75" customHeight="1">
      <c r="Z677" s="65"/>
    </row>
    <row r="678" ht="12.75" customHeight="1">
      <c r="Z678" s="65"/>
    </row>
    <row r="679" ht="12.75" customHeight="1">
      <c r="Z679" s="65"/>
    </row>
    <row r="680" ht="12.75" customHeight="1">
      <c r="Z680" s="65"/>
    </row>
    <row r="681" ht="12.75" customHeight="1">
      <c r="Z681" s="65"/>
    </row>
    <row r="682" ht="12.75" customHeight="1">
      <c r="Z682" s="65"/>
    </row>
    <row r="683" ht="12.75" customHeight="1">
      <c r="Z683" s="65"/>
    </row>
    <row r="684" ht="12.75" customHeight="1">
      <c r="Z684" s="65"/>
    </row>
    <row r="685" ht="12.75" customHeight="1">
      <c r="Z685" s="65"/>
    </row>
    <row r="686" ht="12.75" customHeight="1">
      <c r="Z686" s="65"/>
    </row>
    <row r="687" ht="12.75" customHeight="1">
      <c r="Z687" s="65"/>
    </row>
    <row r="688" ht="12.75" customHeight="1">
      <c r="Z688" s="65"/>
    </row>
    <row r="689" ht="12.75" customHeight="1">
      <c r="Z689" s="65"/>
    </row>
    <row r="690" ht="12.75" customHeight="1">
      <c r="Z690" s="65"/>
    </row>
    <row r="691" ht="12.75" customHeight="1">
      <c r="Z691" s="65"/>
    </row>
    <row r="692" ht="12.75" customHeight="1">
      <c r="Z692" s="65"/>
    </row>
    <row r="693" ht="12.75" customHeight="1">
      <c r="Z693" s="65"/>
    </row>
    <row r="694" ht="12.75" customHeight="1">
      <c r="Z694" s="65"/>
    </row>
    <row r="695" ht="12.75" customHeight="1">
      <c r="Z695" s="65"/>
    </row>
    <row r="696" ht="12.75" customHeight="1">
      <c r="Z696" s="65"/>
    </row>
    <row r="697" ht="12.75" customHeight="1">
      <c r="Z697" s="65"/>
    </row>
    <row r="698" ht="12.75" customHeight="1">
      <c r="Z698" s="65"/>
    </row>
    <row r="699" ht="12.75" customHeight="1">
      <c r="Z699" s="65"/>
    </row>
    <row r="700" ht="12.75" customHeight="1">
      <c r="Z700" s="65"/>
    </row>
    <row r="701" ht="12.75" customHeight="1">
      <c r="Z701" s="65"/>
    </row>
    <row r="702" ht="12.75" customHeight="1">
      <c r="Z702" s="65"/>
    </row>
    <row r="703" ht="12.75" customHeight="1">
      <c r="Z703" s="65"/>
    </row>
    <row r="704" ht="12.75" customHeight="1">
      <c r="Z704" s="65"/>
    </row>
    <row r="705" ht="12.75" customHeight="1">
      <c r="Z705" s="65"/>
    </row>
    <row r="706" ht="12.75" customHeight="1">
      <c r="Z706" s="65"/>
    </row>
    <row r="707" ht="12.75" customHeight="1">
      <c r="Z707" s="65"/>
    </row>
    <row r="708" ht="12.75" customHeight="1">
      <c r="Z708" s="65"/>
    </row>
    <row r="709" ht="12.75" customHeight="1">
      <c r="Z709" s="65"/>
    </row>
    <row r="710" ht="12.75" customHeight="1">
      <c r="Z710" s="65"/>
    </row>
    <row r="711" ht="12.75" customHeight="1">
      <c r="Z711" s="65"/>
    </row>
    <row r="712" ht="12.75" customHeight="1">
      <c r="Z712" s="65"/>
    </row>
    <row r="713" ht="12.75" customHeight="1">
      <c r="Z713" s="65"/>
    </row>
    <row r="714" ht="12.75" customHeight="1">
      <c r="Z714" s="65"/>
    </row>
    <row r="715" ht="12.75" customHeight="1">
      <c r="Z715" s="65"/>
    </row>
    <row r="716" ht="12.75" customHeight="1">
      <c r="Z716" s="65"/>
    </row>
    <row r="717" ht="12.75" customHeight="1">
      <c r="Z717" s="65"/>
    </row>
    <row r="718" ht="12.75" customHeight="1">
      <c r="Z718" s="65"/>
    </row>
    <row r="719" ht="12.75" customHeight="1">
      <c r="Z719" s="65"/>
    </row>
    <row r="720" ht="12.75" customHeight="1">
      <c r="Z720" s="65"/>
    </row>
    <row r="721" ht="12.75" customHeight="1">
      <c r="Z721" s="65"/>
    </row>
    <row r="722" ht="12.75" customHeight="1">
      <c r="Z722" s="65"/>
    </row>
    <row r="723" ht="12.75" customHeight="1">
      <c r="Z723" s="65"/>
    </row>
    <row r="724" ht="12.75" customHeight="1">
      <c r="Z724" s="65"/>
    </row>
    <row r="725" ht="12.75" customHeight="1">
      <c r="Z725" s="65"/>
    </row>
    <row r="726" ht="12.75" customHeight="1">
      <c r="Z726" s="65"/>
    </row>
    <row r="727" ht="12.75" customHeight="1">
      <c r="Z727" s="65"/>
    </row>
    <row r="728" ht="12.75" customHeight="1">
      <c r="Z728" s="65"/>
    </row>
    <row r="729" ht="12.75" customHeight="1">
      <c r="Z729" s="65"/>
    </row>
    <row r="730" ht="12.75" customHeight="1">
      <c r="Z730" s="65"/>
    </row>
    <row r="731" ht="12.75" customHeight="1">
      <c r="Z731" s="65"/>
    </row>
    <row r="732" ht="12.75" customHeight="1">
      <c r="Z732" s="65"/>
    </row>
    <row r="733" ht="12.75" customHeight="1">
      <c r="Z733" s="65"/>
    </row>
    <row r="734" ht="12.75" customHeight="1">
      <c r="Z734" s="65"/>
    </row>
    <row r="735" ht="12.75" customHeight="1">
      <c r="Z735" s="65"/>
    </row>
    <row r="736" ht="12.75" customHeight="1">
      <c r="Z736" s="65"/>
    </row>
    <row r="737" ht="12.75" customHeight="1">
      <c r="Z737" s="65"/>
    </row>
    <row r="738" ht="12.75" customHeight="1">
      <c r="Z738" s="65"/>
    </row>
    <row r="739" ht="12.75" customHeight="1">
      <c r="Z739" s="65"/>
    </row>
    <row r="740" ht="12.75" customHeight="1">
      <c r="Z740" s="65"/>
    </row>
    <row r="741" ht="12.75" customHeight="1">
      <c r="Z741" s="65"/>
    </row>
    <row r="742" ht="12.75" customHeight="1">
      <c r="Z742" s="65"/>
    </row>
    <row r="743" ht="12.75" customHeight="1">
      <c r="Z743" s="65"/>
    </row>
    <row r="744" ht="12.75" customHeight="1">
      <c r="Z744" s="65"/>
    </row>
    <row r="745" ht="12.75" customHeight="1">
      <c r="Z745" s="65"/>
    </row>
    <row r="746" ht="12.75" customHeight="1">
      <c r="Z746" s="65"/>
    </row>
    <row r="747" ht="12.75" customHeight="1">
      <c r="Z747" s="65"/>
    </row>
    <row r="748" ht="12.75" customHeight="1">
      <c r="Z748" s="65"/>
    </row>
    <row r="749" ht="12.75" customHeight="1">
      <c r="Z749" s="65"/>
    </row>
    <row r="750" ht="12.75" customHeight="1">
      <c r="Z750" s="65"/>
    </row>
    <row r="751" ht="12.75" customHeight="1">
      <c r="Z751" s="65"/>
    </row>
    <row r="752" ht="12.75" customHeight="1">
      <c r="Z752" s="65"/>
    </row>
    <row r="753" ht="12.75" customHeight="1">
      <c r="Z753" s="65"/>
    </row>
    <row r="754" ht="12.75" customHeight="1">
      <c r="Z754" s="65"/>
    </row>
    <row r="755" ht="12.75" customHeight="1">
      <c r="Z755" s="65"/>
    </row>
    <row r="756" ht="12.75" customHeight="1">
      <c r="Z756" s="65"/>
    </row>
    <row r="757" ht="12.75" customHeight="1">
      <c r="Z757" s="65"/>
    </row>
    <row r="758" ht="12.75" customHeight="1">
      <c r="Z758" s="65"/>
    </row>
    <row r="759" ht="12.75" customHeight="1">
      <c r="Z759" s="65"/>
    </row>
    <row r="760" ht="12.75" customHeight="1">
      <c r="Z760" s="65"/>
    </row>
    <row r="761" ht="12.75" customHeight="1">
      <c r="Z761" s="65"/>
    </row>
    <row r="762" ht="12.75" customHeight="1">
      <c r="Z762" s="65"/>
    </row>
    <row r="763" ht="12.75" customHeight="1">
      <c r="Z763" s="65"/>
    </row>
    <row r="764" ht="12.75" customHeight="1">
      <c r="Z764" s="65"/>
    </row>
    <row r="765" ht="12.75" customHeight="1">
      <c r="Z765" s="65"/>
    </row>
    <row r="766" ht="12.75" customHeight="1">
      <c r="Z766" s="65"/>
    </row>
    <row r="767" ht="12.75" customHeight="1">
      <c r="Z767" s="65"/>
    </row>
    <row r="768" ht="12.75" customHeight="1">
      <c r="Z768" s="65"/>
    </row>
    <row r="769" ht="12.75" customHeight="1">
      <c r="Z769" s="65"/>
    </row>
    <row r="770" ht="12.75" customHeight="1">
      <c r="Z770" s="65"/>
    </row>
    <row r="771" ht="12.75" customHeight="1">
      <c r="Z771" s="65"/>
    </row>
    <row r="772" ht="12.75" customHeight="1">
      <c r="Z772" s="65"/>
    </row>
    <row r="773" ht="12.75" customHeight="1">
      <c r="Z773" s="65"/>
    </row>
    <row r="774" ht="12.75" customHeight="1">
      <c r="Z774" s="65"/>
    </row>
    <row r="775" ht="12.75" customHeight="1">
      <c r="Z775" s="65"/>
    </row>
    <row r="776" ht="12.75" customHeight="1">
      <c r="Z776" s="65"/>
    </row>
    <row r="777" ht="12.75" customHeight="1">
      <c r="Z777" s="65"/>
    </row>
    <row r="778" ht="12.75" customHeight="1">
      <c r="Z778" s="65"/>
    </row>
    <row r="779" ht="12.75" customHeight="1">
      <c r="Z779" s="65"/>
    </row>
    <row r="780" ht="12.75" customHeight="1">
      <c r="Z780" s="65"/>
    </row>
    <row r="781" ht="12.75" customHeight="1">
      <c r="Z781" s="65"/>
    </row>
    <row r="782" ht="12.75" customHeight="1">
      <c r="Z782" s="65"/>
    </row>
    <row r="783" ht="12.75" customHeight="1">
      <c r="Z783" s="65"/>
    </row>
    <row r="784" ht="12.75" customHeight="1">
      <c r="Z784" s="65"/>
    </row>
    <row r="785" ht="12.75" customHeight="1">
      <c r="Z785" s="65"/>
    </row>
    <row r="786" ht="12.75" customHeight="1">
      <c r="Z786" s="65"/>
    </row>
    <row r="787" ht="12.75" customHeight="1">
      <c r="Z787" s="65"/>
    </row>
    <row r="788" ht="12.75" customHeight="1">
      <c r="Z788" s="65"/>
    </row>
    <row r="789" ht="12.75" customHeight="1">
      <c r="Z789" s="65"/>
    </row>
    <row r="790" ht="12.75" customHeight="1">
      <c r="Z790" s="65"/>
    </row>
    <row r="791" ht="12.75" customHeight="1">
      <c r="Z791" s="65"/>
    </row>
    <row r="792" ht="12.75" customHeight="1">
      <c r="Z792" s="65"/>
    </row>
    <row r="793" ht="12.75" customHeight="1">
      <c r="Z793" s="65"/>
    </row>
    <row r="794" ht="12.75" customHeight="1">
      <c r="Z794" s="65"/>
    </row>
    <row r="795" ht="12.75" customHeight="1">
      <c r="Z795" s="65"/>
    </row>
    <row r="796" ht="12.75" customHeight="1">
      <c r="Z796" s="65"/>
    </row>
    <row r="797" ht="12.75" customHeight="1">
      <c r="Z797" s="65"/>
    </row>
    <row r="798" ht="12.75" customHeight="1">
      <c r="Z798" s="65"/>
    </row>
    <row r="799" ht="12.75" customHeight="1">
      <c r="Z799" s="65"/>
    </row>
    <row r="800" ht="12.75" customHeight="1">
      <c r="Z800" s="65"/>
    </row>
    <row r="801" ht="12.75" customHeight="1">
      <c r="Z801" s="65"/>
    </row>
    <row r="802" ht="12.75" customHeight="1">
      <c r="Z802" s="65"/>
    </row>
    <row r="803" ht="12.75" customHeight="1">
      <c r="Z803" s="65"/>
    </row>
    <row r="804" ht="12.75" customHeight="1">
      <c r="Z804" s="65"/>
    </row>
    <row r="805" ht="12.75" customHeight="1">
      <c r="Z805" s="65"/>
    </row>
    <row r="806" ht="12.75" customHeight="1">
      <c r="Z806" s="65"/>
    </row>
    <row r="807" ht="12.75" customHeight="1">
      <c r="Z807" s="65"/>
    </row>
    <row r="808" ht="12.75" customHeight="1">
      <c r="Z808" s="65"/>
    </row>
    <row r="809" ht="12.75" customHeight="1">
      <c r="Z809" s="65"/>
    </row>
    <row r="810" ht="12.75" customHeight="1">
      <c r="Z810" s="65"/>
    </row>
    <row r="811" ht="12.75" customHeight="1">
      <c r="Z811" s="65"/>
    </row>
    <row r="812" ht="12.75" customHeight="1">
      <c r="Z812" s="65"/>
    </row>
    <row r="813" ht="12.75" customHeight="1">
      <c r="Z813" s="65"/>
    </row>
    <row r="814" ht="12.75" customHeight="1">
      <c r="Z814" s="65"/>
    </row>
    <row r="815" ht="12.75" customHeight="1">
      <c r="Z815" s="65"/>
    </row>
    <row r="816" ht="12.75" customHeight="1">
      <c r="Z816" s="65"/>
    </row>
    <row r="817" ht="12.75" customHeight="1">
      <c r="Z817" s="65"/>
    </row>
    <row r="818" ht="12.75" customHeight="1">
      <c r="Z818" s="65"/>
    </row>
    <row r="819" ht="12.75" customHeight="1">
      <c r="Z819" s="65"/>
    </row>
    <row r="820" ht="12.75" customHeight="1">
      <c r="Z820" s="65"/>
    </row>
    <row r="821" ht="12.75" customHeight="1">
      <c r="Z821" s="65"/>
    </row>
    <row r="822" ht="12.75" customHeight="1">
      <c r="Z822" s="65"/>
    </row>
    <row r="823" ht="12.75" customHeight="1">
      <c r="Z823" s="65"/>
    </row>
    <row r="824" ht="12.75" customHeight="1">
      <c r="Z824" s="65"/>
    </row>
    <row r="825" ht="12.75" customHeight="1">
      <c r="Z825" s="65"/>
    </row>
    <row r="826" ht="12.75" customHeight="1">
      <c r="Z826" s="65"/>
    </row>
    <row r="827" ht="12.75" customHeight="1">
      <c r="Z827" s="65"/>
    </row>
    <row r="828" ht="12.75" customHeight="1">
      <c r="Z828" s="65"/>
    </row>
    <row r="829" ht="12.75" customHeight="1">
      <c r="Z829" s="65"/>
    </row>
    <row r="830" ht="12.75" customHeight="1">
      <c r="Z830" s="65"/>
    </row>
    <row r="831" ht="12.75" customHeight="1">
      <c r="Z831" s="65"/>
    </row>
    <row r="832" ht="12.75" customHeight="1">
      <c r="Z832" s="65"/>
    </row>
    <row r="833" ht="12.75" customHeight="1">
      <c r="Z833" s="65"/>
    </row>
    <row r="834" ht="12.75" customHeight="1">
      <c r="Z834" s="65"/>
    </row>
    <row r="835" ht="12.75" customHeight="1">
      <c r="Z835" s="65"/>
    </row>
    <row r="836" ht="12.75" customHeight="1">
      <c r="Z836" s="65"/>
    </row>
    <row r="837" ht="12.75" customHeight="1">
      <c r="Z837" s="65"/>
    </row>
    <row r="838" ht="12.75" customHeight="1">
      <c r="Z838" s="65"/>
    </row>
    <row r="839" ht="12.75" customHeight="1">
      <c r="Z839" s="65"/>
    </row>
    <row r="840" ht="12.75" customHeight="1">
      <c r="Z840" s="65"/>
    </row>
    <row r="841" ht="12.75" customHeight="1">
      <c r="Z841" s="65"/>
    </row>
    <row r="842" ht="12.75" customHeight="1">
      <c r="Z842" s="65"/>
    </row>
    <row r="843" ht="12.75" customHeight="1">
      <c r="Z843" s="65"/>
    </row>
    <row r="844" ht="12.75" customHeight="1">
      <c r="Z844" s="65"/>
    </row>
    <row r="845" ht="12.75" customHeight="1">
      <c r="Z845" s="65"/>
    </row>
    <row r="846" ht="12.75" customHeight="1">
      <c r="Z846" s="65"/>
    </row>
    <row r="847" ht="12.75" customHeight="1">
      <c r="Z847" s="65"/>
    </row>
    <row r="848" ht="12.75" customHeight="1">
      <c r="Z848" s="65"/>
    </row>
    <row r="849" ht="12.75" customHeight="1">
      <c r="Z849" s="65"/>
    </row>
    <row r="850" ht="12.75" customHeight="1">
      <c r="Z850" s="65"/>
    </row>
    <row r="851" ht="12.75" customHeight="1">
      <c r="Z851" s="65"/>
    </row>
    <row r="852" ht="12.75" customHeight="1">
      <c r="Z852" s="65"/>
    </row>
    <row r="853" ht="12.75" customHeight="1">
      <c r="Z853" s="65"/>
    </row>
    <row r="854" ht="12.75" customHeight="1">
      <c r="Z854" s="65"/>
    </row>
    <row r="855" ht="12.75" customHeight="1">
      <c r="Z855" s="65"/>
    </row>
    <row r="856" ht="12.75" customHeight="1">
      <c r="Z856" s="65"/>
    </row>
    <row r="857" ht="12.75" customHeight="1">
      <c r="Z857" s="65"/>
    </row>
    <row r="858" ht="12.75" customHeight="1">
      <c r="Z858" s="65"/>
    </row>
    <row r="859" ht="12.75" customHeight="1">
      <c r="Z859" s="65"/>
    </row>
    <row r="860" ht="12.75" customHeight="1">
      <c r="Z860" s="65"/>
    </row>
    <row r="861" ht="12.75" customHeight="1">
      <c r="Z861" s="65"/>
    </row>
    <row r="862" ht="12.75" customHeight="1">
      <c r="Z862" s="65"/>
    </row>
    <row r="863" ht="12.75" customHeight="1">
      <c r="Z863" s="65"/>
    </row>
    <row r="864" ht="12.75" customHeight="1">
      <c r="Z864" s="65"/>
    </row>
    <row r="865" ht="12.75" customHeight="1">
      <c r="Z865" s="65"/>
    </row>
    <row r="866" ht="12.75" customHeight="1">
      <c r="Z866" s="65"/>
    </row>
    <row r="867" ht="12.75" customHeight="1">
      <c r="Z867" s="65"/>
    </row>
    <row r="868" ht="12.75" customHeight="1">
      <c r="Z868" s="65"/>
    </row>
    <row r="869" ht="12.75" customHeight="1">
      <c r="Z869" s="65"/>
    </row>
    <row r="870" ht="12.75" customHeight="1">
      <c r="Z870" s="65"/>
    </row>
    <row r="871" ht="12.75" customHeight="1">
      <c r="Z871" s="65"/>
    </row>
    <row r="872" ht="12.75" customHeight="1">
      <c r="Z872" s="65"/>
    </row>
    <row r="873" ht="12.75" customHeight="1">
      <c r="Z873" s="65"/>
    </row>
    <row r="874" ht="12.75" customHeight="1">
      <c r="Z874" s="65"/>
    </row>
    <row r="875" ht="12.75" customHeight="1">
      <c r="Z875" s="65"/>
    </row>
    <row r="876" ht="12.75" customHeight="1">
      <c r="Z876" s="65"/>
    </row>
    <row r="877" ht="12.75" customHeight="1">
      <c r="Z877" s="65"/>
    </row>
    <row r="878" ht="12.75" customHeight="1">
      <c r="Z878" s="65"/>
    </row>
    <row r="879" ht="12.75" customHeight="1">
      <c r="Z879" s="65"/>
    </row>
    <row r="880" ht="12.75" customHeight="1">
      <c r="Z880" s="65"/>
    </row>
    <row r="881" ht="12.75" customHeight="1">
      <c r="Z881" s="65"/>
    </row>
    <row r="882" ht="12.75" customHeight="1">
      <c r="Z882" s="65"/>
    </row>
    <row r="883" ht="12.75" customHeight="1">
      <c r="Z883" s="65"/>
    </row>
    <row r="884" ht="12.75" customHeight="1">
      <c r="Z884" s="65"/>
    </row>
    <row r="885" ht="12.75" customHeight="1">
      <c r="Z885" s="65"/>
    </row>
    <row r="886" ht="12.75" customHeight="1">
      <c r="Z886" s="65"/>
    </row>
    <row r="887" ht="12.75" customHeight="1">
      <c r="Z887" s="65"/>
    </row>
    <row r="888" ht="12.75" customHeight="1">
      <c r="Z888" s="65"/>
    </row>
    <row r="889" ht="12.75" customHeight="1">
      <c r="Z889" s="65"/>
    </row>
    <row r="890" ht="12.75" customHeight="1">
      <c r="Z890" s="65"/>
    </row>
    <row r="891" ht="12.75" customHeight="1">
      <c r="Z891" s="65"/>
    </row>
    <row r="892" ht="12.75" customHeight="1">
      <c r="Z892" s="65"/>
    </row>
    <row r="893" ht="12.75" customHeight="1">
      <c r="Z893" s="65"/>
    </row>
    <row r="894" ht="12.75" customHeight="1">
      <c r="Z894" s="65"/>
    </row>
    <row r="895" ht="12.75" customHeight="1">
      <c r="Z895" s="65"/>
    </row>
    <row r="896" ht="12.75" customHeight="1">
      <c r="Z896" s="65"/>
    </row>
    <row r="897" ht="12.75" customHeight="1">
      <c r="Z897" s="65"/>
    </row>
    <row r="898" ht="12.75" customHeight="1">
      <c r="Z898" s="65"/>
    </row>
    <row r="899" ht="12.75" customHeight="1">
      <c r="Z899" s="65"/>
    </row>
    <row r="900" ht="12.75" customHeight="1">
      <c r="Z900" s="65"/>
    </row>
    <row r="901" ht="12.75" customHeight="1">
      <c r="Z901" s="65"/>
    </row>
    <row r="902" ht="12.75" customHeight="1">
      <c r="Z902" s="65"/>
    </row>
    <row r="903" ht="12.75" customHeight="1">
      <c r="Z903" s="65"/>
    </row>
    <row r="904" ht="12.75" customHeight="1">
      <c r="Z904" s="65"/>
    </row>
    <row r="905" ht="12.75" customHeight="1">
      <c r="Z905" s="65"/>
    </row>
    <row r="906" ht="12.75" customHeight="1">
      <c r="Z906" s="65"/>
    </row>
    <row r="907" ht="12.75" customHeight="1">
      <c r="Z907" s="65"/>
    </row>
    <row r="908" ht="12.75" customHeight="1">
      <c r="Z908" s="65"/>
    </row>
    <row r="909" ht="12.75" customHeight="1">
      <c r="Z909" s="65"/>
    </row>
    <row r="910" ht="12.75" customHeight="1">
      <c r="Z910" s="65"/>
    </row>
    <row r="911" ht="12.75" customHeight="1">
      <c r="Z911" s="65"/>
    </row>
    <row r="912" ht="12.75" customHeight="1">
      <c r="Z912" s="65"/>
    </row>
    <row r="913" ht="12.75" customHeight="1">
      <c r="Z913" s="65"/>
    </row>
    <row r="914" ht="12.75" customHeight="1">
      <c r="Z914" s="65"/>
    </row>
    <row r="915" ht="12.75" customHeight="1">
      <c r="Z915" s="65"/>
    </row>
    <row r="916" ht="12.75" customHeight="1">
      <c r="Z916" s="65"/>
    </row>
    <row r="917" ht="12.75" customHeight="1">
      <c r="Z917" s="65"/>
    </row>
    <row r="918" ht="12.75" customHeight="1">
      <c r="Z918" s="65"/>
    </row>
    <row r="919" ht="12.75" customHeight="1">
      <c r="Z919" s="65"/>
    </row>
    <row r="920" ht="12.75" customHeight="1">
      <c r="Z920" s="65"/>
    </row>
    <row r="921" ht="12.75" customHeight="1">
      <c r="Z921" s="65"/>
    </row>
    <row r="922" ht="12.75" customHeight="1">
      <c r="Z922" s="65"/>
    </row>
    <row r="923" ht="12.75" customHeight="1">
      <c r="Z923" s="65"/>
    </row>
    <row r="924" ht="12.75" customHeight="1">
      <c r="Z924" s="65"/>
    </row>
    <row r="925" ht="12.75" customHeight="1">
      <c r="Z925" s="65"/>
    </row>
    <row r="926" ht="12.75" customHeight="1">
      <c r="Z926" s="65"/>
    </row>
    <row r="927" ht="12.75" customHeight="1">
      <c r="Z927" s="65"/>
    </row>
    <row r="928" ht="12.75" customHeight="1">
      <c r="Z928" s="65"/>
    </row>
    <row r="929" ht="12.75" customHeight="1">
      <c r="Z929" s="65"/>
    </row>
    <row r="930" ht="12.75" customHeight="1">
      <c r="Z930" s="65"/>
    </row>
    <row r="931" ht="12.75" customHeight="1">
      <c r="Z931" s="65"/>
    </row>
    <row r="932" ht="12.75" customHeight="1">
      <c r="Z932" s="65"/>
    </row>
    <row r="933" ht="12.75" customHeight="1">
      <c r="Z933" s="65"/>
    </row>
    <row r="934" ht="12.75" customHeight="1">
      <c r="Z934" s="65"/>
    </row>
    <row r="935" ht="12.75" customHeight="1">
      <c r="Z935" s="65"/>
    </row>
    <row r="936" ht="12.75" customHeight="1">
      <c r="Z936" s="65"/>
    </row>
    <row r="937" ht="12.75" customHeight="1">
      <c r="Z937" s="65"/>
    </row>
    <row r="938" ht="12.75" customHeight="1">
      <c r="Z938" s="65"/>
    </row>
    <row r="939" ht="12.75" customHeight="1">
      <c r="Z939" s="65"/>
    </row>
    <row r="940" ht="12.75" customHeight="1">
      <c r="Z940" s="65"/>
    </row>
    <row r="941" ht="12.75" customHeight="1">
      <c r="Z941" s="65"/>
    </row>
    <row r="942" ht="12.75" customHeight="1">
      <c r="Z942" s="65"/>
    </row>
    <row r="943" ht="12.75" customHeight="1">
      <c r="Z943" s="65"/>
    </row>
    <row r="944" ht="12.75" customHeight="1">
      <c r="Z944" s="65"/>
    </row>
    <row r="945" ht="12.75" customHeight="1">
      <c r="Z945" s="65"/>
    </row>
    <row r="946" ht="12.75" customHeight="1">
      <c r="Z946" s="65"/>
    </row>
    <row r="947" ht="12.75" customHeight="1">
      <c r="Z947" s="65"/>
    </row>
    <row r="948" ht="12.75" customHeight="1">
      <c r="Z948" s="65"/>
    </row>
    <row r="949" ht="12.75" customHeight="1">
      <c r="Z949" s="65"/>
    </row>
    <row r="950" ht="12.75" customHeight="1">
      <c r="Z950" s="65"/>
    </row>
    <row r="951" ht="12.75" customHeight="1">
      <c r="Z951" s="65"/>
    </row>
    <row r="952" ht="12.75" customHeight="1">
      <c r="Z952" s="65"/>
    </row>
    <row r="953" ht="12.75" customHeight="1">
      <c r="Z953" s="65"/>
    </row>
    <row r="954" ht="12.75" customHeight="1">
      <c r="Z954" s="65"/>
    </row>
    <row r="955" ht="12.75" customHeight="1">
      <c r="Z955" s="65"/>
    </row>
    <row r="956" ht="12.75" customHeight="1">
      <c r="Z956" s="65"/>
    </row>
    <row r="957" ht="12.75" customHeight="1">
      <c r="Z957" s="65"/>
    </row>
    <row r="958" ht="12.75" customHeight="1">
      <c r="Z958" s="65"/>
    </row>
    <row r="959" ht="12.75" customHeight="1">
      <c r="Z959" s="65"/>
    </row>
    <row r="960" ht="12.75" customHeight="1">
      <c r="Z960" s="65"/>
    </row>
    <row r="961" ht="12.75" customHeight="1">
      <c r="Z961" s="65"/>
    </row>
    <row r="962" ht="12.75" customHeight="1">
      <c r="Z962" s="65"/>
    </row>
    <row r="963" ht="12.75" customHeight="1">
      <c r="Z963" s="65"/>
    </row>
    <row r="964" ht="12.75" customHeight="1">
      <c r="Z964" s="65"/>
    </row>
    <row r="965" ht="12.75" customHeight="1">
      <c r="Z965" s="65"/>
    </row>
    <row r="966" ht="12.75" customHeight="1">
      <c r="Z966" s="65"/>
    </row>
    <row r="967" ht="12.75" customHeight="1">
      <c r="Z967" s="65"/>
    </row>
    <row r="968" ht="12.75" customHeight="1">
      <c r="Z968" s="65"/>
    </row>
    <row r="969" ht="12.75" customHeight="1">
      <c r="Z969" s="65"/>
    </row>
    <row r="970" ht="12.75" customHeight="1">
      <c r="Z970" s="65"/>
    </row>
    <row r="971" ht="12.75" customHeight="1">
      <c r="Z971" s="65"/>
    </row>
    <row r="972" ht="12.75" customHeight="1">
      <c r="Z972" s="65"/>
    </row>
    <row r="973" ht="12.75" customHeight="1">
      <c r="Z973" s="65"/>
    </row>
    <row r="974" ht="12.75" customHeight="1">
      <c r="Z974" s="65"/>
    </row>
    <row r="975" ht="12.75" customHeight="1">
      <c r="Z975" s="65"/>
    </row>
    <row r="976" ht="12.75" customHeight="1">
      <c r="Z976" s="65"/>
    </row>
    <row r="977" ht="12.75" customHeight="1">
      <c r="Z977" s="65"/>
    </row>
    <row r="978" ht="12.75" customHeight="1">
      <c r="Z978" s="65"/>
    </row>
    <row r="979" ht="12.75" customHeight="1">
      <c r="Z979" s="65"/>
    </row>
    <row r="980" ht="12.75" customHeight="1">
      <c r="Z980" s="65"/>
    </row>
    <row r="981" ht="12.75" customHeight="1">
      <c r="Z981" s="65"/>
    </row>
    <row r="982" ht="12.75" customHeight="1">
      <c r="Z982" s="65"/>
    </row>
    <row r="983" ht="12.75" customHeight="1">
      <c r="Z983" s="65"/>
    </row>
    <row r="984" ht="12.75" customHeight="1">
      <c r="Z984" s="65"/>
    </row>
    <row r="985" ht="12.75" customHeight="1">
      <c r="Z985" s="65"/>
    </row>
    <row r="986" ht="12.75" customHeight="1">
      <c r="Z986" s="65"/>
    </row>
    <row r="987" ht="12.75" customHeight="1">
      <c r="Z987" s="65"/>
    </row>
    <row r="988" ht="12.75" customHeight="1">
      <c r="Z988" s="65"/>
    </row>
    <row r="989" ht="12.75" customHeight="1">
      <c r="Z989" s="65"/>
    </row>
    <row r="990" ht="12.75" customHeight="1">
      <c r="Z990" s="65"/>
    </row>
    <row r="991" ht="12.75" customHeight="1">
      <c r="Z991" s="65"/>
    </row>
    <row r="992" ht="12.75" customHeight="1">
      <c r="Z992" s="65"/>
    </row>
    <row r="993" ht="12.75" customHeight="1">
      <c r="Z993" s="65"/>
    </row>
    <row r="994" ht="12.75" customHeight="1">
      <c r="Z994" s="65"/>
    </row>
    <row r="995" ht="12.75" customHeight="1">
      <c r="Z995" s="65"/>
    </row>
    <row r="996" ht="12.75" customHeight="1">
      <c r="Z996" s="65"/>
    </row>
    <row r="997" ht="12.75" customHeight="1">
      <c r="Z997" s="65"/>
    </row>
    <row r="998" ht="12.75" customHeight="1">
      <c r="Z998" s="65"/>
    </row>
    <row r="999" ht="12.75" customHeight="1">
      <c r="Z999" s="65"/>
    </row>
    <row r="1000" ht="12.75" customHeight="1">
      <c r="Z1000" s="65"/>
    </row>
  </sheetData>
  <mergeCells count="55">
    <mergeCell ref="C29:D29"/>
    <mergeCell ref="A30:B30"/>
    <mergeCell ref="C30:D30"/>
    <mergeCell ref="C32:D32"/>
    <mergeCell ref="A34:B35"/>
    <mergeCell ref="C34:D35"/>
    <mergeCell ref="A37:B37"/>
    <mergeCell ref="C37:D37"/>
    <mergeCell ref="C40:D40"/>
    <mergeCell ref="C41:D41"/>
    <mergeCell ref="C42:D42"/>
    <mergeCell ref="C43:D43"/>
    <mergeCell ref="C44:D44"/>
    <mergeCell ref="A45:B45"/>
    <mergeCell ref="E8:F8"/>
    <mergeCell ref="E9:F9"/>
    <mergeCell ref="E11:F11"/>
    <mergeCell ref="B1:C1"/>
    <mergeCell ref="C4:H4"/>
    <mergeCell ref="E6:F6"/>
    <mergeCell ref="A7:B7"/>
    <mergeCell ref="E7:F7"/>
    <mergeCell ref="A8:B8"/>
    <mergeCell ref="A9:B9"/>
    <mergeCell ref="A10:B10"/>
    <mergeCell ref="E10:F10"/>
    <mergeCell ref="A12:B12"/>
    <mergeCell ref="E12:F12"/>
    <mergeCell ref="A13:B13"/>
    <mergeCell ref="E13:F13"/>
    <mergeCell ref="E14:F14"/>
    <mergeCell ref="E19:F19"/>
    <mergeCell ref="E20:F20"/>
    <mergeCell ref="E24:F24"/>
    <mergeCell ref="E25:F25"/>
    <mergeCell ref="E26:F26"/>
    <mergeCell ref="E27:F27"/>
    <mergeCell ref="E15:F15"/>
    <mergeCell ref="E16:F16"/>
    <mergeCell ref="E17:F17"/>
    <mergeCell ref="A18:B18"/>
    <mergeCell ref="E18:F18"/>
    <mergeCell ref="A19:B19"/>
    <mergeCell ref="A20:B20"/>
    <mergeCell ref="A21:B21"/>
    <mergeCell ref="A22:B22"/>
    <mergeCell ref="A23:B23"/>
    <mergeCell ref="A24:B24"/>
    <mergeCell ref="A25:B25"/>
    <mergeCell ref="A26:B26"/>
    <mergeCell ref="A27:B27"/>
    <mergeCell ref="C45:D45"/>
    <mergeCell ref="C46:D46"/>
    <mergeCell ref="C47:D47"/>
    <mergeCell ref="C48:D48"/>
  </mergeCells>
  <conditionalFormatting sqref="C40:D40">
    <cfRule type="expression" dxfId="0" priority="1">
      <formula>$C$40&lt;&gt;""</formula>
    </cfRule>
  </conditionalFormatting>
  <dataValidations>
    <dataValidation type="custom" allowBlank="1" showInputMessage="1" showErrorMessage="1" prompt="Telephone Number - Telephone number will format automatically. Enter number with no dashes or parenthesis." sqref="H7:H27">
      <formula1>AND(ISNUMBER(H7),LEN(H7)=10)</formula1>
    </dataValidation>
    <dataValidation type="list" allowBlank="1" showErrorMessage="1" sqref="C34">
      <formula1>$Z$10:$Z$12</formula1>
    </dataValidation>
    <dataValidation type="list" allowBlank="1" showErrorMessage="1" sqref="C40">
      <formula1>"Charter Management Organization (CMO),Education Management Organization (EMO),Single Management (non-profit),Single Management (for-profit)"</formula1>
    </dataValidation>
    <dataValidation type="list" allowBlank="1" sqref="C7:C27">
      <formula1>$Z$5:$Z$9</formula1>
    </dataValidation>
    <dataValidation type="list" allowBlank="1" showInputMessage="1" showErrorMessage="1" prompt="Please select a vendor from the drop down list." sqref="C30">
      <formula1>$Z$27:$Z$41</formula1>
    </dataValidation>
  </dataValidations>
  <hyperlinks>
    <hyperlink r:id="rId1" ref="G13"/>
    <hyperlink r:id="rId2" ref="C37"/>
    <hyperlink display="Charter management information" location="Instructions!A8" ref="A39"/>
  </hyperlinks>
  <printOptions/>
  <pageMargins bottom="0.75" footer="0.0" header="0.0" left="0.7" right="0.7" top="0.75"/>
  <pageSetup paperSize="5" scale="73" orientation="landscape"/>
  <headerFooter>
    <oddFooter>&amp;LRev. 5/24 Arizona Department of Education and Auditor General&amp;RCharter Contacts</oddFooter>
  </headerFooter>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63"/>
    <col customWidth="1" min="3" max="3" width="14.63"/>
    <col customWidth="1" min="4" max="4" width="43.38"/>
    <col customWidth="1" min="5" max="5" width="4.0"/>
    <col customWidth="1" min="6" max="13" width="12.63"/>
    <col customWidth="1" min="14" max="14" width="4.0"/>
    <col customWidth="1" min="15" max="26" width="9.0"/>
  </cols>
  <sheetData>
    <row r="1" ht="12.0" customHeight="1">
      <c r="A1" s="24" t="s">
        <v>0</v>
      </c>
      <c r="D1" s="64" t="str">
        <f>CharterName</f>
        <v>Western School of Science and Technology</v>
      </c>
      <c r="E1" s="3"/>
      <c r="F1" s="3"/>
      <c r="H1" s="17" t="s">
        <v>2</v>
      </c>
      <c r="I1" s="5" t="str">
        <f>Cover!M1</f>
        <v>Maricopa</v>
      </c>
      <c r="J1" s="3"/>
      <c r="L1" s="17" t="s">
        <v>4</v>
      </c>
      <c r="M1" s="5" t="str">
        <f>CTD</f>
        <v>078221000</v>
      </c>
      <c r="N1" s="3"/>
    </row>
    <row r="2" ht="3.75" customHeight="1">
      <c r="A2" s="48"/>
      <c r="B2" s="48"/>
      <c r="C2" s="48"/>
      <c r="D2" s="48"/>
      <c r="E2" s="48"/>
      <c r="F2" s="48"/>
      <c r="G2" s="48"/>
      <c r="H2" s="48"/>
      <c r="I2" s="48"/>
      <c r="J2" s="11"/>
      <c r="K2" s="11"/>
      <c r="L2" s="11"/>
      <c r="M2" s="11"/>
      <c r="N2" s="30"/>
    </row>
    <row r="3" ht="12.0" customHeight="1">
      <c r="B3" s="96"/>
      <c r="F3" s="97"/>
      <c r="H3" s="97" t="s">
        <v>155</v>
      </c>
      <c r="I3" s="97"/>
      <c r="J3" s="97"/>
      <c r="K3" s="69" t="s">
        <v>156</v>
      </c>
      <c r="L3" s="70"/>
      <c r="M3" s="98"/>
      <c r="N3" s="99"/>
    </row>
    <row r="4" ht="12.0" customHeight="1">
      <c r="A4" s="24" t="s">
        <v>157</v>
      </c>
      <c r="D4" s="100"/>
      <c r="F4" s="101"/>
      <c r="G4" s="102" t="s">
        <v>158</v>
      </c>
      <c r="H4" s="97" t="s">
        <v>159</v>
      </c>
      <c r="J4" s="101"/>
      <c r="K4" s="97" t="s">
        <v>160</v>
      </c>
      <c r="L4" s="97" t="s">
        <v>161</v>
      </c>
      <c r="M4" s="103" t="s">
        <v>162</v>
      </c>
      <c r="N4" s="99"/>
    </row>
    <row r="5" ht="12.0" customHeight="1">
      <c r="F5" s="97" t="s">
        <v>163</v>
      </c>
      <c r="G5" s="102" t="s">
        <v>164</v>
      </c>
      <c r="H5" s="97" t="s">
        <v>165</v>
      </c>
      <c r="I5" s="97" t="s">
        <v>166</v>
      </c>
      <c r="J5" s="97" t="s">
        <v>167</v>
      </c>
      <c r="K5" s="97" t="s">
        <v>168</v>
      </c>
      <c r="L5" s="97" t="s">
        <v>168</v>
      </c>
      <c r="M5" s="103" t="s">
        <v>169</v>
      </c>
      <c r="N5" s="99"/>
    </row>
    <row r="6" ht="12.0" customHeight="1">
      <c r="A6" s="104" t="s">
        <v>170</v>
      </c>
      <c r="B6" s="11"/>
      <c r="C6" s="11"/>
      <c r="D6" s="11"/>
      <c r="E6" s="11"/>
      <c r="F6" s="105">
        <v>6100.0</v>
      </c>
      <c r="G6" s="105">
        <v>6200.0</v>
      </c>
      <c r="H6" s="105">
        <v>6500.0</v>
      </c>
      <c r="I6" s="105">
        <v>6600.0</v>
      </c>
      <c r="J6" s="105">
        <v>6800.0</v>
      </c>
      <c r="K6" s="97">
        <v>2024.0</v>
      </c>
      <c r="L6" s="103">
        <v>2025.0</v>
      </c>
      <c r="M6" s="103" t="s">
        <v>171</v>
      </c>
      <c r="N6" s="99"/>
    </row>
    <row r="7" ht="12.0" customHeight="1">
      <c r="A7" s="24" t="s">
        <v>172</v>
      </c>
      <c r="F7" s="106"/>
      <c r="G7" s="106"/>
      <c r="H7" s="106"/>
      <c r="I7" s="106"/>
      <c r="J7" s="107"/>
      <c r="K7" s="108"/>
      <c r="L7" s="108"/>
      <c r="M7" s="109"/>
      <c r="N7" s="30"/>
    </row>
    <row r="8" ht="12.0" customHeight="1">
      <c r="B8" s="24" t="s">
        <v>173</v>
      </c>
      <c r="E8" s="16">
        <v>1.0</v>
      </c>
      <c r="F8" s="110">
        <v>1627998.0</v>
      </c>
      <c r="G8" s="110">
        <v>348257.0</v>
      </c>
      <c r="H8" s="110">
        <f>52400+61600</f>
        <v>114000</v>
      </c>
      <c r="I8" s="110">
        <f>6000+35500+14500+6000</f>
        <v>62000</v>
      </c>
      <c r="J8" s="111">
        <v>0.0</v>
      </c>
      <c r="K8" s="112">
        <v>2089982.0</v>
      </c>
      <c r="L8" s="112">
        <f>SUM(F8:J8)</f>
        <v>2152255</v>
      </c>
      <c r="M8" s="113">
        <f>IF(K8=0," ",(L8-K8)/K8)</f>
        <v>0.0297959504</v>
      </c>
      <c r="N8" s="114">
        <v>1.0</v>
      </c>
    </row>
    <row r="9" ht="12.0" customHeight="1">
      <c r="B9" s="24" t="s">
        <v>174</v>
      </c>
      <c r="E9" s="16"/>
      <c r="F9" s="106"/>
      <c r="G9" s="106"/>
      <c r="H9" s="106"/>
      <c r="I9" s="106"/>
      <c r="J9" s="107"/>
      <c r="K9" s="109"/>
      <c r="L9" s="109"/>
      <c r="M9" s="109"/>
      <c r="N9" s="114"/>
    </row>
    <row r="10" ht="12.0" customHeight="1">
      <c r="B10" s="24" t="s">
        <v>175</v>
      </c>
      <c r="E10" s="16">
        <v>2.0</v>
      </c>
      <c r="F10" s="110">
        <v>342331.0</v>
      </c>
      <c r="G10" s="110">
        <v>66329.0</v>
      </c>
      <c r="H10" s="110">
        <f>21000-5000</f>
        <v>16000</v>
      </c>
      <c r="I10" s="110">
        <v>5000.0</v>
      </c>
      <c r="J10" s="111">
        <v>0.0</v>
      </c>
      <c r="K10" s="110">
        <v>534716.0</v>
      </c>
      <c r="L10" s="110">
        <f t="shared" ref="L10:L23" si="1">SUM(F10:J10)</f>
        <v>429660</v>
      </c>
      <c r="M10" s="115">
        <f t="shared" ref="M10:M23" si="2">IF(K10=0," ",(L10-K10)/K10)</f>
        <v>-0.1964706498</v>
      </c>
      <c r="N10" s="114">
        <v>2.0</v>
      </c>
    </row>
    <row r="11" ht="12.0" customHeight="1">
      <c r="B11" s="24" t="s">
        <v>176</v>
      </c>
      <c r="E11" s="16">
        <v>3.0</v>
      </c>
      <c r="F11" s="110">
        <v>212086.0</v>
      </c>
      <c r="G11" s="110">
        <v>38024.0</v>
      </c>
      <c r="H11" s="110">
        <v>29000.0</v>
      </c>
      <c r="I11" s="110">
        <v>0.0</v>
      </c>
      <c r="J11" s="110">
        <v>0.0</v>
      </c>
      <c r="K11" s="110">
        <v>101918.0</v>
      </c>
      <c r="L11" s="110">
        <f t="shared" si="1"/>
        <v>279110</v>
      </c>
      <c r="M11" s="115">
        <f t="shared" si="2"/>
        <v>1.738574148</v>
      </c>
      <c r="N11" s="116">
        <v>3.0</v>
      </c>
    </row>
    <row r="12" ht="12.0" customHeight="1">
      <c r="B12" s="24" t="s">
        <v>177</v>
      </c>
      <c r="E12" s="16">
        <v>4.0</v>
      </c>
      <c r="F12" s="110">
        <v>0.0</v>
      </c>
      <c r="G12" s="110">
        <v>0.0</v>
      </c>
      <c r="H12" s="110">
        <v>0.0</v>
      </c>
      <c r="I12" s="110">
        <v>0.0</v>
      </c>
      <c r="J12" s="110">
        <v>0.0</v>
      </c>
      <c r="K12" s="117">
        <v>0.0</v>
      </c>
      <c r="L12" s="110">
        <f t="shared" si="1"/>
        <v>0</v>
      </c>
      <c r="M12" s="115" t="str">
        <f t="shared" si="2"/>
        <v> </v>
      </c>
      <c r="N12" s="116">
        <v>4.0</v>
      </c>
    </row>
    <row r="13" ht="12.0" customHeight="1">
      <c r="B13" s="24" t="s">
        <v>178</v>
      </c>
      <c r="E13" s="16">
        <v>5.0</v>
      </c>
      <c r="F13" s="110">
        <v>791542.0</v>
      </c>
      <c r="G13" s="110">
        <f>154532+14500</f>
        <v>169032</v>
      </c>
      <c r="H13" s="110">
        <v>247720.0</v>
      </c>
      <c r="I13" s="110">
        <f>34000+6000+3000</f>
        <v>43000</v>
      </c>
      <c r="J13" s="110">
        <v>9550.0</v>
      </c>
      <c r="K13" s="117">
        <v>1115374.0</v>
      </c>
      <c r="L13" s="110">
        <f t="shared" si="1"/>
        <v>1260844</v>
      </c>
      <c r="M13" s="115">
        <f t="shared" si="2"/>
        <v>0.1304226206</v>
      </c>
      <c r="N13" s="116">
        <v>5.0</v>
      </c>
    </row>
    <row r="14" ht="12.0" customHeight="1">
      <c r="B14" s="24" t="s">
        <v>179</v>
      </c>
      <c r="E14" s="16">
        <v>6.0</v>
      </c>
      <c r="F14" s="110">
        <v>0.0</v>
      </c>
      <c r="G14" s="110">
        <v>0.0</v>
      </c>
      <c r="H14" s="110">
        <v>0.0</v>
      </c>
      <c r="I14" s="110">
        <v>0.0</v>
      </c>
      <c r="J14" s="110">
        <v>0.0</v>
      </c>
      <c r="K14" s="117">
        <v>0.0</v>
      </c>
      <c r="L14" s="110">
        <f t="shared" si="1"/>
        <v>0</v>
      </c>
      <c r="M14" s="115" t="str">
        <f t="shared" si="2"/>
        <v> </v>
      </c>
      <c r="N14" s="116">
        <v>6.0</v>
      </c>
    </row>
    <row r="15" ht="12.0" customHeight="1">
      <c r="B15" s="24" t="s">
        <v>180</v>
      </c>
      <c r="E15" s="16">
        <v>7.0</v>
      </c>
      <c r="F15" s="110">
        <v>187357.0</v>
      </c>
      <c r="G15" s="110">
        <v>44779.0</v>
      </c>
      <c r="H15" s="110">
        <f>55600+7650+46000</f>
        <v>109250</v>
      </c>
      <c r="I15" s="110">
        <f>17500+45000</f>
        <v>62500</v>
      </c>
      <c r="J15" s="110">
        <v>0.0</v>
      </c>
      <c r="K15" s="117">
        <v>333042.0</v>
      </c>
      <c r="L15" s="110">
        <f t="shared" si="1"/>
        <v>403886</v>
      </c>
      <c r="M15" s="115">
        <f t="shared" si="2"/>
        <v>0.2127179155</v>
      </c>
      <c r="N15" s="116">
        <v>7.0</v>
      </c>
    </row>
    <row r="16" ht="12.0" customHeight="1">
      <c r="B16" s="24" t="s">
        <v>181</v>
      </c>
      <c r="E16" s="16">
        <v>8.0</v>
      </c>
      <c r="F16" s="110">
        <v>0.0</v>
      </c>
      <c r="G16" s="110">
        <v>0.0</v>
      </c>
      <c r="H16" s="110">
        <v>0.0</v>
      </c>
      <c r="I16" s="110">
        <v>0.0</v>
      </c>
      <c r="J16" s="110">
        <v>0.0</v>
      </c>
      <c r="K16" s="117">
        <v>0.0</v>
      </c>
      <c r="L16" s="110">
        <f t="shared" si="1"/>
        <v>0</v>
      </c>
      <c r="M16" s="115" t="str">
        <f t="shared" si="2"/>
        <v> </v>
      </c>
      <c r="N16" s="116">
        <v>8.0</v>
      </c>
    </row>
    <row r="17" ht="12.0" customHeight="1">
      <c r="B17" s="24" t="s">
        <v>182</v>
      </c>
      <c r="E17" s="16">
        <v>9.0</v>
      </c>
      <c r="F17" s="110">
        <v>0.0</v>
      </c>
      <c r="G17" s="110">
        <v>0.0</v>
      </c>
      <c r="H17" s="110">
        <v>0.0</v>
      </c>
      <c r="I17" s="110">
        <v>0.0</v>
      </c>
      <c r="J17" s="110">
        <v>0.0</v>
      </c>
      <c r="K17" s="117">
        <v>0.0</v>
      </c>
      <c r="L17" s="110">
        <f t="shared" si="1"/>
        <v>0</v>
      </c>
      <c r="M17" s="115" t="str">
        <f t="shared" si="2"/>
        <v> </v>
      </c>
      <c r="N17" s="116">
        <v>9.0</v>
      </c>
    </row>
    <row r="18" ht="12.0" customHeight="1">
      <c r="B18" s="24" t="s">
        <v>183</v>
      </c>
      <c r="E18" s="16">
        <v>10.0</v>
      </c>
      <c r="F18" s="110">
        <v>0.0</v>
      </c>
      <c r="G18" s="110">
        <v>0.0</v>
      </c>
      <c r="H18" s="110">
        <v>0.0</v>
      </c>
      <c r="I18" s="110">
        <v>0.0</v>
      </c>
      <c r="J18" s="110">
        <v>0.0</v>
      </c>
      <c r="K18" s="117">
        <v>0.0</v>
      </c>
      <c r="L18" s="110">
        <f t="shared" si="1"/>
        <v>0</v>
      </c>
      <c r="M18" s="115" t="str">
        <f t="shared" si="2"/>
        <v> </v>
      </c>
      <c r="N18" s="116">
        <v>10.0</v>
      </c>
    </row>
    <row r="19" ht="12.0" customHeight="1">
      <c r="B19" s="24" t="s">
        <v>184</v>
      </c>
      <c r="E19" s="118">
        <v>11.0</v>
      </c>
      <c r="F19" s="119">
        <v>0.0</v>
      </c>
      <c r="G19" s="110">
        <v>0.0</v>
      </c>
      <c r="H19" s="110">
        <v>680832.0</v>
      </c>
      <c r="I19" s="110">
        <v>0.0</v>
      </c>
      <c r="J19" s="110">
        <v>0.0</v>
      </c>
      <c r="K19" s="117">
        <v>680832.0</v>
      </c>
      <c r="L19" s="110">
        <f t="shared" si="1"/>
        <v>680832</v>
      </c>
      <c r="M19" s="115">
        <f t="shared" si="2"/>
        <v>0</v>
      </c>
      <c r="N19" s="116">
        <v>11.0</v>
      </c>
    </row>
    <row r="20" ht="12.0" customHeight="1">
      <c r="A20" s="24" t="s">
        <v>185</v>
      </c>
      <c r="E20" s="118">
        <v>12.0</v>
      </c>
      <c r="F20" s="119">
        <v>0.0</v>
      </c>
      <c r="G20" s="110">
        <v>0.0</v>
      </c>
      <c r="H20" s="110">
        <v>18000.0</v>
      </c>
      <c r="I20" s="110">
        <v>0.0</v>
      </c>
      <c r="J20" s="110">
        <v>0.0</v>
      </c>
      <c r="K20" s="110">
        <v>0.0</v>
      </c>
      <c r="L20" s="110">
        <f t="shared" si="1"/>
        <v>18000</v>
      </c>
      <c r="M20" s="115" t="str">
        <f t="shared" si="2"/>
        <v> </v>
      </c>
      <c r="N20" s="116">
        <v>12.0</v>
      </c>
    </row>
    <row r="21" ht="12.0" customHeight="1">
      <c r="A21" s="24" t="s">
        <v>186</v>
      </c>
      <c r="E21" s="118">
        <v>13.0</v>
      </c>
      <c r="F21" s="119">
        <v>0.0</v>
      </c>
      <c r="G21" s="110">
        <v>0.0</v>
      </c>
      <c r="H21" s="110">
        <v>2500.0</v>
      </c>
      <c r="I21" s="110">
        <v>0.0</v>
      </c>
      <c r="J21" s="110">
        <v>0.0</v>
      </c>
      <c r="K21" s="110">
        <v>0.0</v>
      </c>
      <c r="L21" s="110">
        <f t="shared" si="1"/>
        <v>2500</v>
      </c>
      <c r="M21" s="115" t="str">
        <f t="shared" si="2"/>
        <v> </v>
      </c>
      <c r="N21" s="116">
        <v>13.0</v>
      </c>
    </row>
    <row r="22" ht="12.0" customHeight="1">
      <c r="A22" s="24" t="s">
        <v>187</v>
      </c>
      <c r="E22" s="118">
        <v>14.0</v>
      </c>
      <c r="F22" s="119">
        <v>0.0</v>
      </c>
      <c r="G22" s="110">
        <v>0.0</v>
      </c>
      <c r="H22" s="110">
        <v>0.0</v>
      </c>
      <c r="I22" s="110">
        <v>0.0</v>
      </c>
      <c r="J22" s="110">
        <v>0.0</v>
      </c>
      <c r="K22" s="110">
        <v>0.0</v>
      </c>
      <c r="L22" s="110">
        <f t="shared" si="1"/>
        <v>0</v>
      </c>
      <c r="M22" s="115" t="str">
        <f t="shared" si="2"/>
        <v> </v>
      </c>
      <c r="N22" s="116">
        <v>14.0</v>
      </c>
    </row>
    <row r="23" ht="12.0" customHeight="1">
      <c r="A23" s="11"/>
      <c r="B23" s="11" t="s">
        <v>188</v>
      </c>
      <c r="C23" s="11"/>
      <c r="D23" s="11"/>
      <c r="E23" s="120">
        <v>15.0</v>
      </c>
      <c r="F23" s="110">
        <f t="shared" ref="F23:J23" si="3">SUM(F7:F22)</f>
        <v>3161314</v>
      </c>
      <c r="G23" s="110">
        <f t="shared" si="3"/>
        <v>666421</v>
      </c>
      <c r="H23" s="110">
        <f t="shared" si="3"/>
        <v>1217302</v>
      </c>
      <c r="I23" s="110">
        <f t="shared" si="3"/>
        <v>172500</v>
      </c>
      <c r="J23" s="110">
        <f t="shared" si="3"/>
        <v>9550</v>
      </c>
      <c r="K23" s="121">
        <f>SUM(K8:K22)</f>
        <v>4855864</v>
      </c>
      <c r="L23" s="121">
        <f t="shared" si="1"/>
        <v>5227087</v>
      </c>
      <c r="M23" s="115">
        <f t="shared" si="2"/>
        <v>0.07644839312</v>
      </c>
      <c r="N23" s="116">
        <v>15.0</v>
      </c>
    </row>
    <row r="24" ht="12.0" customHeight="1">
      <c r="A24" s="24" t="s">
        <v>189</v>
      </c>
      <c r="E24" s="16"/>
      <c r="F24" s="106"/>
      <c r="G24" s="106"/>
      <c r="H24" s="106"/>
      <c r="I24" s="106"/>
      <c r="J24" s="107"/>
      <c r="K24" s="109"/>
      <c r="L24" s="109"/>
      <c r="M24" s="109"/>
      <c r="N24" s="116"/>
    </row>
    <row r="25" ht="12.0" customHeight="1">
      <c r="B25" s="24" t="s">
        <v>173</v>
      </c>
      <c r="E25" s="16">
        <v>16.0</v>
      </c>
      <c r="F25" s="110">
        <v>184649.0</v>
      </c>
      <c r="G25" s="110">
        <v>38190.0</v>
      </c>
      <c r="H25" s="110">
        <f>35255+4800</f>
        <v>40055</v>
      </c>
      <c r="I25" s="110">
        <v>1500.0</v>
      </c>
      <c r="J25" s="111">
        <v>0.0</v>
      </c>
      <c r="K25" s="110">
        <v>246473.0</v>
      </c>
      <c r="L25" s="110">
        <f>SUM(F25:J25)</f>
        <v>264394</v>
      </c>
      <c r="M25" s="122">
        <f>IF(K25=0," ",(L25-K25)/K25)</f>
        <v>0.07270978971</v>
      </c>
      <c r="N25" s="116">
        <v>16.0</v>
      </c>
    </row>
    <row r="26" ht="12.0" customHeight="1">
      <c r="B26" s="24" t="s">
        <v>174</v>
      </c>
      <c r="E26" s="16"/>
      <c r="F26" s="106"/>
      <c r="G26" s="106"/>
      <c r="H26" s="106"/>
      <c r="I26" s="106"/>
      <c r="J26" s="107"/>
      <c r="K26" s="109"/>
      <c r="L26" s="109"/>
      <c r="M26" s="109"/>
      <c r="N26" s="116"/>
    </row>
    <row r="27" ht="12.0" customHeight="1">
      <c r="B27" s="24" t="s">
        <v>175</v>
      </c>
      <c r="E27" s="118">
        <v>17.0</v>
      </c>
      <c r="F27" s="110">
        <v>0.0</v>
      </c>
      <c r="G27" s="110">
        <v>0.0</v>
      </c>
      <c r="H27" s="110">
        <v>0.0</v>
      </c>
      <c r="I27" s="110">
        <v>0.0</v>
      </c>
      <c r="J27" s="111">
        <v>0.0</v>
      </c>
      <c r="K27" s="110">
        <v>0.0</v>
      </c>
      <c r="L27" s="110">
        <f t="shared" ref="L27:L37" si="4">SUM(F27:J27)</f>
        <v>0</v>
      </c>
      <c r="M27" s="122" t="str">
        <f t="shared" ref="M27:M37" si="5">IF(K27=0," ",(L27-K27)/K27)</f>
        <v> </v>
      </c>
      <c r="N27" s="116">
        <v>17.0</v>
      </c>
    </row>
    <row r="28" ht="12.0" customHeight="1">
      <c r="B28" s="24" t="s">
        <v>176</v>
      </c>
      <c r="E28" s="118">
        <v>18.0</v>
      </c>
      <c r="F28" s="110">
        <v>0.0</v>
      </c>
      <c r="G28" s="110">
        <v>0.0</v>
      </c>
      <c r="H28" s="110">
        <v>0.0</v>
      </c>
      <c r="I28" s="110">
        <v>0.0</v>
      </c>
      <c r="J28" s="110">
        <v>0.0</v>
      </c>
      <c r="K28" s="110">
        <v>0.0</v>
      </c>
      <c r="L28" s="110">
        <f t="shared" si="4"/>
        <v>0</v>
      </c>
      <c r="M28" s="123" t="str">
        <f t="shared" si="5"/>
        <v> </v>
      </c>
      <c r="N28" s="116">
        <v>18.0</v>
      </c>
    </row>
    <row r="29" ht="12.0" customHeight="1">
      <c r="B29" s="24" t="s">
        <v>177</v>
      </c>
      <c r="E29" s="118">
        <v>19.0</v>
      </c>
      <c r="F29" s="110">
        <v>0.0</v>
      </c>
      <c r="G29" s="110">
        <v>0.0</v>
      </c>
      <c r="H29" s="110">
        <v>0.0</v>
      </c>
      <c r="I29" s="110">
        <v>0.0</v>
      </c>
      <c r="J29" s="110">
        <v>0.0</v>
      </c>
      <c r="K29" s="117">
        <v>0.0</v>
      </c>
      <c r="L29" s="110">
        <f t="shared" si="4"/>
        <v>0</v>
      </c>
      <c r="M29" s="115" t="str">
        <f t="shared" si="5"/>
        <v> </v>
      </c>
      <c r="N29" s="116">
        <v>19.0</v>
      </c>
    </row>
    <row r="30" ht="12.0" customHeight="1">
      <c r="B30" s="24" t="s">
        <v>178</v>
      </c>
      <c r="E30" s="118">
        <v>20.0</v>
      </c>
      <c r="F30" s="110">
        <v>0.0</v>
      </c>
      <c r="G30" s="110">
        <v>0.0</v>
      </c>
      <c r="H30" s="110">
        <v>0.0</v>
      </c>
      <c r="I30" s="110">
        <v>0.0</v>
      </c>
      <c r="J30" s="110">
        <v>0.0</v>
      </c>
      <c r="K30" s="117">
        <v>0.0</v>
      </c>
      <c r="L30" s="110">
        <f t="shared" si="4"/>
        <v>0</v>
      </c>
      <c r="M30" s="115" t="str">
        <f t="shared" si="5"/>
        <v> </v>
      </c>
      <c r="N30" s="116">
        <v>20.0</v>
      </c>
    </row>
    <row r="31" ht="12.0" customHeight="1">
      <c r="B31" s="24" t="s">
        <v>179</v>
      </c>
      <c r="E31" s="118">
        <v>21.0</v>
      </c>
      <c r="F31" s="110">
        <v>0.0</v>
      </c>
      <c r="G31" s="110">
        <v>0.0</v>
      </c>
      <c r="H31" s="110">
        <v>0.0</v>
      </c>
      <c r="I31" s="110">
        <v>0.0</v>
      </c>
      <c r="J31" s="110">
        <v>0.0</v>
      </c>
      <c r="K31" s="117">
        <v>0.0</v>
      </c>
      <c r="L31" s="110">
        <f t="shared" si="4"/>
        <v>0</v>
      </c>
      <c r="M31" s="115" t="str">
        <f t="shared" si="5"/>
        <v> </v>
      </c>
      <c r="N31" s="116">
        <v>21.0</v>
      </c>
    </row>
    <row r="32" ht="12.0" customHeight="1">
      <c r="B32" s="24" t="s">
        <v>180</v>
      </c>
      <c r="E32" s="118">
        <v>22.0</v>
      </c>
      <c r="F32" s="110">
        <v>0.0</v>
      </c>
      <c r="G32" s="110">
        <v>0.0</v>
      </c>
      <c r="H32" s="110">
        <v>0.0</v>
      </c>
      <c r="I32" s="110">
        <v>0.0</v>
      </c>
      <c r="J32" s="110">
        <v>0.0</v>
      </c>
      <c r="K32" s="117">
        <v>0.0</v>
      </c>
      <c r="L32" s="110">
        <f t="shared" si="4"/>
        <v>0</v>
      </c>
      <c r="M32" s="115" t="str">
        <f t="shared" si="5"/>
        <v> </v>
      </c>
      <c r="N32" s="116">
        <v>22.0</v>
      </c>
    </row>
    <row r="33" ht="12.0" customHeight="1">
      <c r="B33" s="24" t="s">
        <v>181</v>
      </c>
      <c r="E33" s="118">
        <v>23.0</v>
      </c>
      <c r="F33" s="110">
        <v>0.0</v>
      </c>
      <c r="G33" s="110">
        <v>0.0</v>
      </c>
      <c r="H33" s="110">
        <v>0.0</v>
      </c>
      <c r="I33" s="110">
        <v>0.0</v>
      </c>
      <c r="J33" s="110">
        <v>0.0</v>
      </c>
      <c r="K33" s="117">
        <v>0.0</v>
      </c>
      <c r="L33" s="110">
        <f t="shared" si="4"/>
        <v>0</v>
      </c>
      <c r="M33" s="115" t="str">
        <f t="shared" si="5"/>
        <v> </v>
      </c>
      <c r="N33" s="116">
        <v>23.0</v>
      </c>
    </row>
    <row r="34" ht="12.0" customHeight="1">
      <c r="B34" s="24" t="s">
        <v>182</v>
      </c>
      <c r="E34" s="118">
        <v>24.0</v>
      </c>
      <c r="F34" s="110">
        <v>0.0</v>
      </c>
      <c r="G34" s="110">
        <v>0.0</v>
      </c>
      <c r="H34" s="110">
        <v>0.0</v>
      </c>
      <c r="I34" s="110">
        <v>0.0</v>
      </c>
      <c r="J34" s="110">
        <v>0.0</v>
      </c>
      <c r="K34" s="117">
        <v>0.0</v>
      </c>
      <c r="L34" s="110">
        <f t="shared" si="4"/>
        <v>0</v>
      </c>
      <c r="M34" s="115" t="str">
        <f t="shared" si="5"/>
        <v> </v>
      </c>
      <c r="N34" s="116">
        <v>24.0</v>
      </c>
      <c r="R34" s="96"/>
    </row>
    <row r="35" ht="12.0" customHeight="1">
      <c r="B35" s="24" t="s">
        <v>183</v>
      </c>
      <c r="E35" s="118">
        <v>25.0</v>
      </c>
      <c r="F35" s="110">
        <v>0.0</v>
      </c>
      <c r="G35" s="110">
        <v>0.0</v>
      </c>
      <c r="H35" s="110">
        <v>0.0</v>
      </c>
      <c r="I35" s="110">
        <v>0.0</v>
      </c>
      <c r="J35" s="110">
        <v>0.0</v>
      </c>
      <c r="K35" s="117">
        <v>0.0</v>
      </c>
      <c r="L35" s="110">
        <f t="shared" si="4"/>
        <v>0</v>
      </c>
      <c r="M35" s="115" t="str">
        <f t="shared" si="5"/>
        <v> </v>
      </c>
      <c r="N35" s="116">
        <v>25.0</v>
      </c>
    </row>
    <row r="36" ht="12.0" customHeight="1">
      <c r="B36" s="24" t="s">
        <v>184</v>
      </c>
      <c r="E36" s="16">
        <v>26.0</v>
      </c>
      <c r="F36" s="110">
        <v>0.0</v>
      </c>
      <c r="G36" s="110">
        <v>0.0</v>
      </c>
      <c r="H36" s="110">
        <v>0.0</v>
      </c>
      <c r="I36" s="110">
        <v>0.0</v>
      </c>
      <c r="J36" s="110">
        <v>0.0</v>
      </c>
      <c r="K36" s="117">
        <v>0.0</v>
      </c>
      <c r="L36" s="110">
        <f t="shared" si="4"/>
        <v>0</v>
      </c>
      <c r="M36" s="115" t="str">
        <f t="shared" si="5"/>
        <v> </v>
      </c>
      <c r="N36" s="116">
        <v>26.0</v>
      </c>
    </row>
    <row r="37" ht="12.0" customHeight="1">
      <c r="A37" s="11"/>
      <c r="B37" s="11" t="s">
        <v>190</v>
      </c>
      <c r="C37" s="11"/>
      <c r="D37" s="11"/>
      <c r="E37" s="120">
        <v>27.0</v>
      </c>
      <c r="F37" s="117">
        <f t="shared" ref="F37:J37" si="6">SUM(F24:F36)</f>
        <v>184649</v>
      </c>
      <c r="G37" s="117">
        <f t="shared" si="6"/>
        <v>38190</v>
      </c>
      <c r="H37" s="117">
        <f t="shared" si="6"/>
        <v>40055</v>
      </c>
      <c r="I37" s="117">
        <f t="shared" si="6"/>
        <v>1500</v>
      </c>
      <c r="J37" s="117">
        <f t="shared" si="6"/>
        <v>0</v>
      </c>
      <c r="K37" s="117">
        <f>SUM(K25:K36)</f>
        <v>246473</v>
      </c>
      <c r="L37" s="117">
        <f t="shared" si="4"/>
        <v>264394</v>
      </c>
      <c r="M37" s="123">
        <f t="shared" si="5"/>
        <v>0.07270978971</v>
      </c>
      <c r="N37" s="116">
        <v>27.0</v>
      </c>
    </row>
    <row r="38" ht="0.75" customHeight="1">
      <c r="A38" s="24" t="s">
        <v>191</v>
      </c>
      <c r="E38" s="16">
        <v>28.0</v>
      </c>
      <c r="F38" s="124"/>
      <c r="G38" s="124"/>
      <c r="H38" s="124"/>
      <c r="I38" s="124"/>
      <c r="J38" s="124"/>
      <c r="K38" s="124"/>
      <c r="L38" s="124"/>
      <c r="M38" s="125"/>
      <c r="N38" s="114">
        <v>28.0</v>
      </c>
    </row>
    <row r="39" ht="12.0" customHeight="1">
      <c r="A39" s="11" t="s">
        <v>192</v>
      </c>
      <c r="B39" s="11"/>
      <c r="C39" s="11"/>
      <c r="D39" s="11"/>
      <c r="E39" s="120">
        <v>28.0</v>
      </c>
      <c r="F39" s="110">
        <v>0.0</v>
      </c>
      <c r="G39" s="110">
        <v>0.0</v>
      </c>
      <c r="H39" s="110">
        <v>45000.0</v>
      </c>
      <c r="I39" s="110">
        <v>0.0</v>
      </c>
      <c r="J39" s="110">
        <v>0.0</v>
      </c>
      <c r="K39" s="110">
        <v>40000.0</v>
      </c>
      <c r="L39" s="110">
        <f t="shared" ref="L39:L44" si="7">SUM(F39:J39)</f>
        <v>45000</v>
      </c>
      <c r="M39" s="115">
        <f t="shared" ref="M39:M49" si="8">IF(K39=0," ",(L39-K39)/K39)</f>
        <v>0.125</v>
      </c>
      <c r="N39" s="116">
        <v>28.0</v>
      </c>
    </row>
    <row r="40" ht="12.0" customHeight="1">
      <c r="A40" s="11" t="s">
        <v>193</v>
      </c>
      <c r="B40" s="11"/>
      <c r="C40" s="11"/>
      <c r="D40" s="11"/>
      <c r="E40" s="126">
        <v>29.0</v>
      </c>
      <c r="F40" s="110">
        <v>0.0</v>
      </c>
      <c r="G40" s="110">
        <v>0.0</v>
      </c>
      <c r="H40" s="110">
        <v>0.0</v>
      </c>
      <c r="I40" s="110">
        <v>0.0</v>
      </c>
      <c r="J40" s="110">
        <v>0.0</v>
      </c>
      <c r="K40" s="117">
        <v>0.0</v>
      </c>
      <c r="L40" s="110">
        <f t="shared" si="7"/>
        <v>0</v>
      </c>
      <c r="M40" s="115" t="str">
        <f t="shared" si="8"/>
        <v> </v>
      </c>
      <c r="N40" s="116">
        <v>29.0</v>
      </c>
    </row>
    <row r="41" ht="12.0" customHeight="1">
      <c r="A41" s="11" t="s">
        <v>194</v>
      </c>
      <c r="B41" s="11"/>
      <c r="C41" s="11"/>
      <c r="D41" s="11"/>
      <c r="E41" s="126">
        <v>30.0</v>
      </c>
      <c r="F41" s="110">
        <v>0.0</v>
      </c>
      <c r="G41" s="110">
        <v>0.0</v>
      </c>
      <c r="H41" s="110">
        <v>0.0</v>
      </c>
      <c r="I41" s="110">
        <v>0.0</v>
      </c>
      <c r="J41" s="110">
        <v>0.0</v>
      </c>
      <c r="K41" s="117">
        <v>0.0</v>
      </c>
      <c r="L41" s="110">
        <f t="shared" si="7"/>
        <v>0</v>
      </c>
      <c r="M41" s="115" t="str">
        <f t="shared" si="8"/>
        <v> </v>
      </c>
      <c r="N41" s="116">
        <v>30.0</v>
      </c>
    </row>
    <row r="42" ht="12.0" customHeight="1">
      <c r="A42" s="127" t="s">
        <v>195</v>
      </c>
      <c r="B42" s="128"/>
      <c r="C42" s="128"/>
      <c r="D42" s="128"/>
      <c r="E42" s="126">
        <v>31.0</v>
      </c>
      <c r="F42" s="110">
        <v>0.0</v>
      </c>
      <c r="G42" s="110">
        <v>0.0</v>
      </c>
      <c r="H42" s="110">
        <v>0.0</v>
      </c>
      <c r="I42" s="110">
        <v>0.0</v>
      </c>
      <c r="J42" s="110">
        <v>0.0</v>
      </c>
      <c r="K42" s="117">
        <v>0.0</v>
      </c>
      <c r="L42" s="110">
        <f t="shared" si="7"/>
        <v>0</v>
      </c>
      <c r="M42" s="115" t="str">
        <f t="shared" si="8"/>
        <v> </v>
      </c>
      <c r="N42" s="116">
        <v>31.0</v>
      </c>
    </row>
    <row r="43" ht="12.0" customHeight="1">
      <c r="A43" s="11"/>
      <c r="B43" s="11" t="s">
        <v>196</v>
      </c>
      <c r="C43" s="11"/>
      <c r="D43" s="11"/>
      <c r="E43" s="126">
        <v>32.0</v>
      </c>
      <c r="F43" s="110">
        <f t="shared" ref="F43:K43" si="9">SUM(F37:F42)+F23</f>
        <v>3345963</v>
      </c>
      <c r="G43" s="110">
        <f t="shared" si="9"/>
        <v>704611</v>
      </c>
      <c r="H43" s="110">
        <f t="shared" si="9"/>
        <v>1302357</v>
      </c>
      <c r="I43" s="110">
        <f t="shared" si="9"/>
        <v>174000</v>
      </c>
      <c r="J43" s="110">
        <f t="shared" si="9"/>
        <v>9550</v>
      </c>
      <c r="K43" s="110">
        <f t="shared" si="9"/>
        <v>5142337</v>
      </c>
      <c r="L43" s="110">
        <f t="shared" si="7"/>
        <v>5536481</v>
      </c>
      <c r="M43" s="115">
        <f t="shared" si="8"/>
        <v>0.07664686309</v>
      </c>
      <c r="N43" s="116">
        <v>32.0</v>
      </c>
    </row>
    <row r="44" ht="12.0" customHeight="1">
      <c r="A44" s="11" t="s">
        <v>197</v>
      </c>
      <c r="B44" s="11"/>
      <c r="C44" s="11"/>
      <c r="D44" s="11"/>
      <c r="E44" s="126">
        <v>33.0</v>
      </c>
      <c r="F44" s="110">
        <f>TotalCSP6100</f>
        <v>481520</v>
      </c>
      <c r="G44" s="110">
        <f>TotalCSP6200</f>
        <v>51281</v>
      </c>
      <c r="H44" s="110">
        <f>TotalCSP630064006500</f>
        <v>0</v>
      </c>
      <c r="I44" s="110">
        <f>TotalCSP6600</f>
        <v>0</v>
      </c>
      <c r="J44" s="110">
        <f>'Page 3'!F18</f>
        <v>0</v>
      </c>
      <c r="K44" s="110">
        <v>527269.0</v>
      </c>
      <c r="L44" s="110">
        <f t="shared" si="7"/>
        <v>532801</v>
      </c>
      <c r="M44" s="115">
        <f t="shared" si="8"/>
        <v>0.0104917983</v>
      </c>
      <c r="N44" s="116">
        <v>33.0</v>
      </c>
    </row>
    <row r="45" ht="12.0" customHeight="1">
      <c r="A45" s="11" t="s">
        <v>198</v>
      </c>
      <c r="B45" s="11"/>
      <c r="C45" s="11"/>
      <c r="D45" s="11"/>
      <c r="E45" s="126">
        <v>34.0</v>
      </c>
      <c r="F45" s="129"/>
      <c r="G45" s="129"/>
      <c r="H45" s="129"/>
      <c r="I45" s="129"/>
      <c r="J45" s="129"/>
      <c r="K45" s="110">
        <v>0.0</v>
      </c>
      <c r="L45" s="110">
        <f>TotalInstructionalImprovement</f>
        <v>33647</v>
      </c>
      <c r="M45" s="115" t="str">
        <f t="shared" si="8"/>
        <v> </v>
      </c>
      <c r="N45" s="116">
        <v>34.0</v>
      </c>
    </row>
    <row r="46" ht="12.0" customHeight="1">
      <c r="A46" s="11" t="s">
        <v>199</v>
      </c>
      <c r="B46" s="11"/>
      <c r="C46" s="11"/>
      <c r="D46" s="11"/>
      <c r="E46" s="126">
        <v>35.0</v>
      </c>
      <c r="F46" s="110">
        <f>TotalSEIP6100</f>
        <v>11087</v>
      </c>
      <c r="G46" s="110">
        <f>TotalSEIP6200</f>
        <v>2710</v>
      </c>
      <c r="H46" s="110">
        <f>TotalSEIP630064006500</f>
        <v>0</v>
      </c>
      <c r="I46" s="110">
        <f>TotalSEIP6600</f>
        <v>0</v>
      </c>
      <c r="J46" s="110">
        <f>TotalSEIP6800</f>
        <v>0</v>
      </c>
      <c r="K46" s="110">
        <v>41500.0</v>
      </c>
      <c r="L46" s="110">
        <f>TotalSEIP</f>
        <v>13797</v>
      </c>
      <c r="M46" s="115">
        <f t="shared" si="8"/>
        <v>-0.6675421687</v>
      </c>
      <c r="N46" s="116">
        <v>35.0</v>
      </c>
    </row>
    <row r="47" ht="12.0" customHeight="1">
      <c r="A47" s="11" t="s">
        <v>200</v>
      </c>
      <c r="B47" s="11"/>
      <c r="C47" s="11"/>
      <c r="D47" s="11"/>
      <c r="E47" s="126">
        <v>36.0</v>
      </c>
      <c r="F47" s="110">
        <f>TotalCIP6100</f>
        <v>0</v>
      </c>
      <c r="G47" s="110">
        <f>TotalCIP6200</f>
        <v>0</v>
      </c>
      <c r="H47" s="110">
        <f>TotalCIP630064006500</f>
        <v>0</v>
      </c>
      <c r="I47" s="110">
        <f>TotalCIP6600</f>
        <v>0</v>
      </c>
      <c r="J47" s="110">
        <f>TotalCIP6800</f>
        <v>0</v>
      </c>
      <c r="K47" s="117">
        <v>0.0</v>
      </c>
      <c r="L47" s="110">
        <f>TotalCIP</f>
        <v>0</v>
      </c>
      <c r="M47" s="115" t="str">
        <f t="shared" si="8"/>
        <v> </v>
      </c>
      <c r="N47" s="116">
        <v>36.0</v>
      </c>
    </row>
    <row r="48" ht="12.0" customHeight="1">
      <c r="A48" s="127" t="s">
        <v>201</v>
      </c>
      <c r="B48" s="128"/>
      <c r="C48" s="128"/>
      <c r="D48" s="128"/>
      <c r="E48" s="126">
        <v>37.0</v>
      </c>
      <c r="F48" s="129"/>
      <c r="G48" s="129"/>
      <c r="H48" s="129"/>
      <c r="I48" s="129"/>
      <c r="J48" s="129"/>
      <c r="K48" s="117">
        <v>1152542.0</v>
      </c>
      <c r="L48" s="110">
        <f>FederalandStateProjectsTotal</f>
        <v>988604</v>
      </c>
      <c r="M48" s="115">
        <f t="shared" si="8"/>
        <v>-0.1422403695</v>
      </c>
      <c r="N48" s="116">
        <v>37.0</v>
      </c>
    </row>
    <row r="49" ht="12.0" customHeight="1">
      <c r="A49" s="130"/>
      <c r="B49" s="11" t="s">
        <v>202</v>
      </c>
      <c r="C49" s="11"/>
      <c r="D49" s="11"/>
      <c r="E49" s="126">
        <v>38.0</v>
      </c>
      <c r="F49" s="131">
        <f t="shared" ref="F49:I49" si="10">SUM(F43+F44+F46+F47)</f>
        <v>3838570</v>
      </c>
      <c r="G49" s="131">
        <f t="shared" si="10"/>
        <v>758602</v>
      </c>
      <c r="H49" s="131">
        <f t="shared" si="10"/>
        <v>1302357</v>
      </c>
      <c r="I49" s="131">
        <f t="shared" si="10"/>
        <v>174000</v>
      </c>
      <c r="J49" s="131">
        <f t="array" ref="J49">SUM(J43:J44+J46+J47)</f>
        <v>9550</v>
      </c>
      <c r="K49" s="132">
        <f t="shared" ref="K49:L49" si="11">SUM(K43:K48)</f>
        <v>6863648</v>
      </c>
      <c r="L49" s="132">
        <f t="shared" si="11"/>
        <v>7105330</v>
      </c>
      <c r="M49" s="115">
        <f t="shared" si="8"/>
        <v>0.03521188732</v>
      </c>
      <c r="N49" s="116">
        <v>38.0</v>
      </c>
    </row>
    <row r="50" ht="12.75" customHeight="1">
      <c r="N50" s="30"/>
    </row>
    <row r="51" ht="12.75" customHeight="1">
      <c r="N51" s="30"/>
    </row>
    <row r="52" ht="12.75" customHeight="1">
      <c r="N52" s="30"/>
    </row>
    <row r="53" ht="12.75" customHeight="1">
      <c r="N53" s="30"/>
    </row>
    <row r="54" ht="12.75" customHeight="1">
      <c r="N54" s="30"/>
    </row>
    <row r="55" ht="12.75" customHeight="1">
      <c r="N55" s="30"/>
    </row>
    <row r="56" ht="12.75" customHeight="1">
      <c r="N56" s="30"/>
    </row>
    <row r="57" ht="12.75" customHeight="1">
      <c r="N57" s="30"/>
    </row>
    <row r="58" ht="12.75" customHeight="1">
      <c r="N58" s="30"/>
    </row>
    <row r="59" ht="12.75" customHeight="1">
      <c r="N59" s="30"/>
    </row>
    <row r="60" ht="12.75" customHeight="1">
      <c r="N60" s="30"/>
    </row>
    <row r="61" ht="12.75" customHeight="1">
      <c r="N61" s="30"/>
    </row>
    <row r="62" ht="12.75" customHeight="1">
      <c r="N62" s="30"/>
    </row>
    <row r="63" ht="12.75" customHeight="1">
      <c r="N63" s="30"/>
    </row>
    <row r="64" ht="12.75" customHeight="1">
      <c r="N64" s="30"/>
    </row>
    <row r="65" ht="12.75" customHeight="1">
      <c r="N65" s="30"/>
    </row>
    <row r="66" ht="12.75" customHeight="1">
      <c r="N66" s="30"/>
    </row>
    <row r="67" ht="12.75" customHeight="1">
      <c r="N67" s="30"/>
    </row>
    <row r="68" ht="12.75" customHeight="1">
      <c r="N68" s="30"/>
    </row>
    <row r="69" ht="12.75" customHeight="1">
      <c r="N69" s="30"/>
    </row>
    <row r="70" ht="12.75" customHeight="1">
      <c r="N70" s="30"/>
    </row>
    <row r="71" ht="12.75" customHeight="1">
      <c r="N71" s="30"/>
    </row>
    <row r="72" ht="12.75" customHeight="1">
      <c r="N72" s="30"/>
    </row>
    <row r="73" ht="12.75" customHeight="1">
      <c r="N73" s="30"/>
    </row>
    <row r="74" ht="12.75" customHeight="1">
      <c r="N74" s="30"/>
    </row>
    <row r="75" ht="12.75" customHeight="1">
      <c r="N75" s="30"/>
    </row>
    <row r="76" ht="12.75" customHeight="1">
      <c r="N76" s="30"/>
    </row>
    <row r="77" ht="12.75" customHeight="1">
      <c r="N77" s="30"/>
    </row>
    <row r="78" ht="12.75" customHeight="1">
      <c r="N78" s="30"/>
    </row>
    <row r="79" ht="12.75" customHeight="1">
      <c r="N79" s="30"/>
    </row>
    <row r="80" ht="12.75" customHeight="1">
      <c r="N80" s="30"/>
    </row>
    <row r="81" ht="12.75" customHeight="1">
      <c r="N81" s="30"/>
    </row>
    <row r="82" ht="12.75" customHeight="1">
      <c r="N82" s="30"/>
    </row>
    <row r="83" ht="12.75" customHeight="1">
      <c r="N83" s="30"/>
    </row>
    <row r="84" ht="12.75" customHeight="1">
      <c r="N84" s="30"/>
    </row>
    <row r="85" ht="12.75" customHeight="1">
      <c r="N85" s="30"/>
    </row>
    <row r="86" ht="12.75" customHeight="1">
      <c r="N86" s="30"/>
    </row>
    <row r="87" ht="12.75" customHeight="1">
      <c r="N87" s="30"/>
    </row>
    <row r="88" ht="12.75" customHeight="1">
      <c r="N88" s="30"/>
    </row>
    <row r="89" ht="12.75" customHeight="1">
      <c r="N89" s="30"/>
    </row>
    <row r="90" ht="12.75" customHeight="1">
      <c r="N90" s="30"/>
    </row>
    <row r="91" ht="12.75" customHeight="1">
      <c r="N91" s="30"/>
    </row>
    <row r="92" ht="12.75" customHeight="1">
      <c r="N92" s="30"/>
    </row>
    <row r="93" ht="12.75" customHeight="1">
      <c r="N93" s="30"/>
    </row>
    <row r="94" ht="12.75" customHeight="1">
      <c r="N94" s="30"/>
    </row>
    <row r="95" ht="12.75" customHeight="1">
      <c r="N95" s="30"/>
    </row>
    <row r="96" ht="12.75" customHeight="1">
      <c r="N96" s="30"/>
    </row>
    <row r="97" ht="12.75" customHeight="1">
      <c r="N97" s="30"/>
    </row>
    <row r="98" ht="12.75" customHeight="1">
      <c r="N98" s="30"/>
    </row>
    <row r="99" ht="12.75" customHeight="1">
      <c r="N99" s="30"/>
    </row>
    <row r="100" ht="12.75" customHeight="1">
      <c r="N100" s="30"/>
    </row>
    <row r="101" ht="12.75" customHeight="1">
      <c r="N101" s="30"/>
    </row>
    <row r="102" ht="12.75" customHeight="1">
      <c r="N102" s="30"/>
    </row>
    <row r="103" ht="12.75" customHeight="1">
      <c r="N103" s="30"/>
    </row>
    <row r="104" ht="12.75" customHeight="1">
      <c r="N104" s="30"/>
    </row>
    <row r="105" ht="12.75" customHeight="1">
      <c r="N105" s="30"/>
    </row>
    <row r="106" ht="12.75" customHeight="1">
      <c r="N106" s="30"/>
    </row>
    <row r="107" ht="12.75" customHeight="1">
      <c r="N107" s="30"/>
    </row>
    <row r="108" ht="12.75" customHeight="1">
      <c r="N108" s="30"/>
    </row>
    <row r="109" ht="12.75" customHeight="1">
      <c r="N109" s="30"/>
    </row>
    <row r="110" ht="12.75" customHeight="1">
      <c r="N110" s="30"/>
    </row>
    <row r="111" ht="12.75" customHeight="1">
      <c r="N111" s="30"/>
    </row>
    <row r="112" ht="12.75" customHeight="1">
      <c r="N112" s="30"/>
    </row>
    <row r="113" ht="12.75" customHeight="1">
      <c r="N113" s="30"/>
    </row>
    <row r="114" ht="12.75" customHeight="1">
      <c r="N114" s="30"/>
    </row>
    <row r="115" ht="12.75" customHeight="1">
      <c r="N115" s="30"/>
    </row>
    <row r="116" ht="12.75" customHeight="1">
      <c r="N116" s="30"/>
    </row>
    <row r="117" ht="12.75" customHeight="1">
      <c r="N117" s="30"/>
    </row>
    <row r="118" ht="12.75" customHeight="1">
      <c r="N118" s="30"/>
    </row>
    <row r="119" ht="12.75" customHeight="1">
      <c r="N119" s="30"/>
    </row>
    <row r="120" ht="12.75" customHeight="1">
      <c r="N120" s="30"/>
    </row>
    <row r="121" ht="12.75" customHeight="1">
      <c r="N121" s="30"/>
    </row>
    <row r="122" ht="12.75" customHeight="1">
      <c r="N122" s="30"/>
    </row>
    <row r="123" ht="12.75" customHeight="1">
      <c r="N123" s="30"/>
    </row>
    <row r="124" ht="12.75" customHeight="1">
      <c r="N124" s="30"/>
    </row>
    <row r="125" ht="12.75" customHeight="1">
      <c r="N125" s="30"/>
    </row>
    <row r="126" ht="12.75" customHeight="1">
      <c r="N126" s="30"/>
    </row>
    <row r="127" ht="12.75" customHeight="1">
      <c r="N127" s="30"/>
    </row>
    <row r="128" ht="12.75" customHeight="1">
      <c r="N128" s="30"/>
    </row>
    <row r="129" ht="12.75" customHeight="1">
      <c r="N129" s="30"/>
    </row>
    <row r="130" ht="12.75" customHeight="1">
      <c r="N130" s="30"/>
    </row>
    <row r="131" ht="12.75" customHeight="1">
      <c r="N131" s="30"/>
    </row>
    <row r="132" ht="12.75" customHeight="1">
      <c r="N132" s="30"/>
    </row>
    <row r="133" ht="12.75" customHeight="1">
      <c r="N133" s="30"/>
    </row>
    <row r="134" ht="12.75" customHeight="1">
      <c r="N134" s="30"/>
    </row>
    <row r="135" ht="12.75" customHeight="1">
      <c r="N135" s="30"/>
    </row>
    <row r="136" ht="12.75" customHeight="1">
      <c r="N136" s="30"/>
    </row>
    <row r="137" ht="12.75" customHeight="1">
      <c r="N137" s="30"/>
    </row>
    <row r="138" ht="12.75" customHeight="1">
      <c r="N138" s="30"/>
    </row>
    <row r="139" ht="12.75" customHeight="1">
      <c r="N139" s="30"/>
    </row>
    <row r="140" ht="12.75" customHeight="1">
      <c r="N140" s="30"/>
    </row>
    <row r="141" ht="12.75" customHeight="1">
      <c r="N141" s="30"/>
    </row>
    <row r="142" ht="12.75" customHeight="1">
      <c r="N142" s="30"/>
    </row>
    <row r="143" ht="12.75" customHeight="1">
      <c r="N143" s="30"/>
    </row>
    <row r="144" ht="12.75" customHeight="1">
      <c r="N144" s="30"/>
    </row>
    <row r="145" ht="12.75" customHeight="1">
      <c r="N145" s="30"/>
    </row>
    <row r="146" ht="12.75" customHeight="1">
      <c r="N146" s="30"/>
    </row>
    <row r="147" ht="12.75" customHeight="1">
      <c r="N147" s="30"/>
    </row>
    <row r="148" ht="12.75" customHeight="1">
      <c r="N148" s="30"/>
    </row>
    <row r="149" ht="12.75" customHeight="1">
      <c r="N149" s="30"/>
    </row>
    <row r="150" ht="12.75" customHeight="1">
      <c r="N150" s="30"/>
    </row>
    <row r="151" ht="12.75" customHeight="1">
      <c r="N151" s="30"/>
    </row>
    <row r="152" ht="12.75" customHeight="1">
      <c r="N152" s="30"/>
    </row>
    <row r="153" ht="12.75" customHeight="1">
      <c r="N153" s="30"/>
    </row>
    <row r="154" ht="12.75" customHeight="1">
      <c r="N154" s="30"/>
    </row>
    <row r="155" ht="12.75" customHeight="1">
      <c r="N155" s="30"/>
    </row>
    <row r="156" ht="12.75" customHeight="1">
      <c r="N156" s="30"/>
    </row>
    <row r="157" ht="12.75" customHeight="1">
      <c r="N157" s="30"/>
    </row>
    <row r="158" ht="12.75" customHeight="1">
      <c r="N158" s="30"/>
    </row>
    <row r="159" ht="12.75" customHeight="1">
      <c r="N159" s="30"/>
    </row>
    <row r="160" ht="12.75" customHeight="1">
      <c r="N160" s="30"/>
    </row>
    <row r="161" ht="12.75" customHeight="1">
      <c r="N161" s="30"/>
    </row>
    <row r="162" ht="12.75" customHeight="1">
      <c r="N162" s="30"/>
    </row>
    <row r="163" ht="12.75" customHeight="1">
      <c r="N163" s="30"/>
    </row>
    <row r="164" ht="12.75" customHeight="1">
      <c r="N164" s="30"/>
    </row>
    <row r="165" ht="12.75" customHeight="1">
      <c r="N165" s="30"/>
    </row>
    <row r="166" ht="12.75" customHeight="1">
      <c r="N166" s="30"/>
    </row>
    <row r="167" ht="12.75" customHeight="1">
      <c r="N167" s="30"/>
    </row>
    <row r="168" ht="12.75" customHeight="1">
      <c r="N168" s="30"/>
    </row>
    <row r="169" ht="12.75" customHeight="1">
      <c r="N169" s="30"/>
    </row>
    <row r="170" ht="12.75" customHeight="1">
      <c r="N170" s="30"/>
    </row>
    <row r="171" ht="12.75" customHeight="1">
      <c r="N171" s="30"/>
    </row>
    <row r="172" ht="12.75" customHeight="1">
      <c r="N172" s="30"/>
    </row>
    <row r="173" ht="12.75" customHeight="1">
      <c r="N173" s="30"/>
    </row>
    <row r="174" ht="12.75" customHeight="1">
      <c r="N174" s="30"/>
    </row>
    <row r="175" ht="12.75" customHeight="1">
      <c r="N175" s="30"/>
    </row>
    <row r="176" ht="12.75" customHeight="1">
      <c r="N176" s="30"/>
    </row>
    <row r="177" ht="12.75" customHeight="1">
      <c r="N177" s="30"/>
    </row>
    <row r="178" ht="12.75" customHeight="1">
      <c r="N178" s="30"/>
    </row>
    <row r="179" ht="12.75" customHeight="1">
      <c r="N179" s="30"/>
    </row>
    <row r="180" ht="12.75" customHeight="1">
      <c r="N180" s="30"/>
    </row>
    <row r="181" ht="12.75" customHeight="1">
      <c r="N181" s="30"/>
    </row>
    <row r="182" ht="12.75" customHeight="1">
      <c r="N182" s="30"/>
    </row>
    <row r="183" ht="12.75" customHeight="1">
      <c r="N183" s="30"/>
    </row>
    <row r="184" ht="12.75" customHeight="1">
      <c r="N184" s="30"/>
    </row>
    <row r="185" ht="12.75" customHeight="1">
      <c r="N185" s="30"/>
    </row>
    <row r="186" ht="12.75" customHeight="1">
      <c r="N186" s="30"/>
    </row>
    <row r="187" ht="12.75" customHeight="1">
      <c r="N187" s="30"/>
    </row>
    <row r="188" ht="12.75" customHeight="1">
      <c r="N188" s="30"/>
    </row>
    <row r="189" ht="12.75" customHeight="1">
      <c r="N189" s="30"/>
    </row>
    <row r="190" ht="12.75" customHeight="1">
      <c r="N190" s="30"/>
    </row>
    <row r="191" ht="12.75" customHeight="1">
      <c r="N191" s="30"/>
    </row>
    <row r="192" ht="12.75" customHeight="1">
      <c r="N192" s="30"/>
    </row>
    <row r="193" ht="12.75" customHeight="1">
      <c r="N193" s="30"/>
    </row>
    <row r="194" ht="12.75" customHeight="1">
      <c r="N194" s="30"/>
    </row>
    <row r="195" ht="12.75" customHeight="1">
      <c r="N195" s="30"/>
    </row>
    <row r="196" ht="12.75" customHeight="1">
      <c r="N196" s="30"/>
    </row>
    <row r="197" ht="12.75" customHeight="1">
      <c r="N197" s="30"/>
    </row>
    <row r="198" ht="12.75" customHeight="1">
      <c r="N198" s="30"/>
    </row>
    <row r="199" ht="12.75" customHeight="1">
      <c r="N199" s="30"/>
    </row>
    <row r="200" ht="12.75" customHeight="1">
      <c r="N200" s="30"/>
    </row>
    <row r="201" ht="12.75" customHeight="1">
      <c r="N201" s="30"/>
    </row>
    <row r="202" ht="12.75" customHeight="1">
      <c r="N202" s="30"/>
    </row>
    <row r="203" ht="12.75" customHeight="1">
      <c r="N203" s="30"/>
    </row>
    <row r="204" ht="12.75" customHeight="1">
      <c r="N204" s="30"/>
    </row>
    <row r="205" ht="12.75" customHeight="1">
      <c r="N205" s="30"/>
    </row>
    <row r="206" ht="12.75" customHeight="1">
      <c r="N206" s="30"/>
    </row>
    <row r="207" ht="12.75" customHeight="1">
      <c r="N207" s="30"/>
    </row>
    <row r="208" ht="12.75" customHeight="1">
      <c r="N208" s="30"/>
    </row>
    <row r="209" ht="12.75" customHeight="1">
      <c r="N209" s="30"/>
    </row>
    <row r="210" ht="12.75" customHeight="1">
      <c r="N210" s="30"/>
    </row>
    <row r="211" ht="12.75" customHeight="1">
      <c r="N211" s="30"/>
    </row>
    <row r="212" ht="12.75" customHeight="1">
      <c r="N212" s="30"/>
    </row>
    <row r="213" ht="12.75" customHeight="1">
      <c r="N213" s="30"/>
    </row>
    <row r="214" ht="12.75" customHeight="1">
      <c r="N214" s="30"/>
    </row>
    <row r="215" ht="12.75" customHeight="1">
      <c r="N215" s="30"/>
    </row>
    <row r="216" ht="12.75" customHeight="1">
      <c r="N216" s="30"/>
    </row>
    <row r="217" ht="12.75" customHeight="1">
      <c r="N217" s="30"/>
    </row>
    <row r="218" ht="12.75" customHeight="1">
      <c r="N218" s="30"/>
    </row>
    <row r="219" ht="12.75" customHeight="1">
      <c r="N219" s="30"/>
    </row>
    <row r="220" ht="12.75" customHeight="1">
      <c r="N220" s="30"/>
    </row>
    <row r="221" ht="12.75" customHeight="1">
      <c r="N221" s="30"/>
    </row>
    <row r="222" ht="12.75" customHeight="1">
      <c r="N222" s="30"/>
    </row>
    <row r="223" ht="12.75" customHeight="1">
      <c r="N223" s="30"/>
    </row>
    <row r="224" ht="12.75" customHeight="1">
      <c r="N224" s="30"/>
    </row>
    <row r="225" ht="12.75" customHeight="1">
      <c r="N225" s="30"/>
    </row>
    <row r="226" ht="12.75" customHeight="1">
      <c r="N226" s="30"/>
    </row>
    <row r="227" ht="12.75" customHeight="1">
      <c r="N227" s="30"/>
    </row>
    <row r="228" ht="12.75" customHeight="1">
      <c r="N228" s="30"/>
    </row>
    <row r="229" ht="12.75" customHeight="1">
      <c r="N229" s="30"/>
    </row>
    <row r="230" ht="12.75" customHeight="1">
      <c r="N230" s="30"/>
    </row>
    <row r="231" ht="12.75" customHeight="1">
      <c r="N231" s="30"/>
    </row>
    <row r="232" ht="12.75" customHeight="1">
      <c r="N232" s="30"/>
    </row>
    <row r="233" ht="12.75" customHeight="1">
      <c r="N233" s="30"/>
    </row>
    <row r="234" ht="12.75" customHeight="1">
      <c r="N234" s="30"/>
    </row>
    <row r="235" ht="12.75" customHeight="1">
      <c r="N235" s="30"/>
    </row>
    <row r="236" ht="12.75" customHeight="1">
      <c r="N236" s="30"/>
    </row>
    <row r="237" ht="12.75" customHeight="1">
      <c r="N237" s="30"/>
    </row>
    <row r="238" ht="12.75" customHeight="1">
      <c r="N238" s="30"/>
    </row>
    <row r="239" ht="12.75" customHeight="1">
      <c r="N239" s="30"/>
    </row>
    <row r="240" ht="12.75" customHeight="1">
      <c r="N240" s="30"/>
    </row>
    <row r="241" ht="12.75" customHeight="1">
      <c r="N241" s="30"/>
    </row>
    <row r="242" ht="12.75" customHeight="1">
      <c r="N242" s="30"/>
    </row>
    <row r="243" ht="12.75" customHeight="1">
      <c r="N243" s="30"/>
    </row>
    <row r="244" ht="12.75" customHeight="1">
      <c r="N244" s="30"/>
    </row>
    <row r="245" ht="12.75" customHeight="1">
      <c r="N245" s="30"/>
    </row>
    <row r="246" ht="12.75" customHeight="1">
      <c r="N246" s="30"/>
    </row>
    <row r="247" ht="12.75" customHeight="1">
      <c r="N247" s="30"/>
    </row>
    <row r="248" ht="12.75" customHeight="1">
      <c r="N248" s="30"/>
    </row>
    <row r="249" ht="12.75" customHeight="1">
      <c r="N249" s="30"/>
    </row>
    <row r="250" ht="12.75" customHeight="1">
      <c r="N250" s="30"/>
    </row>
    <row r="251" ht="12.75" customHeight="1">
      <c r="N251" s="30"/>
    </row>
    <row r="252" ht="12.75" customHeight="1">
      <c r="N252" s="30"/>
    </row>
    <row r="253" ht="12.75" customHeight="1">
      <c r="N253" s="30"/>
    </row>
    <row r="254" ht="12.75" customHeight="1">
      <c r="N254" s="30"/>
    </row>
    <row r="255" ht="12.75" customHeight="1">
      <c r="N255" s="30"/>
    </row>
    <row r="256" ht="12.75" customHeight="1">
      <c r="N256" s="30"/>
    </row>
    <row r="257" ht="12.75" customHeight="1">
      <c r="N257" s="30"/>
    </row>
    <row r="258" ht="12.75" customHeight="1">
      <c r="N258" s="30"/>
    </row>
    <row r="259" ht="12.75" customHeight="1">
      <c r="N259" s="30"/>
    </row>
    <row r="260" ht="12.75" customHeight="1">
      <c r="N260" s="30"/>
    </row>
    <row r="261" ht="12.75" customHeight="1">
      <c r="N261" s="30"/>
    </row>
    <row r="262" ht="12.75" customHeight="1">
      <c r="N262" s="30"/>
    </row>
    <row r="263" ht="12.75" customHeight="1">
      <c r="N263" s="30"/>
    </row>
    <row r="264" ht="12.75" customHeight="1">
      <c r="N264" s="30"/>
    </row>
    <row r="265" ht="12.75" customHeight="1">
      <c r="N265" s="30"/>
    </row>
    <row r="266" ht="12.75" customHeight="1">
      <c r="N266" s="30"/>
    </row>
    <row r="267" ht="12.75" customHeight="1">
      <c r="N267" s="30"/>
    </row>
    <row r="268" ht="12.75" customHeight="1">
      <c r="N268" s="30"/>
    </row>
    <row r="269" ht="12.75" customHeight="1">
      <c r="N269" s="30"/>
    </row>
    <row r="270" ht="12.75" customHeight="1">
      <c r="N270" s="30"/>
    </row>
    <row r="271" ht="12.75" customHeight="1">
      <c r="N271" s="30"/>
    </row>
    <row r="272" ht="12.75" customHeight="1">
      <c r="N272" s="30"/>
    </row>
    <row r="273" ht="12.75" customHeight="1">
      <c r="N273" s="30"/>
    </row>
    <row r="274" ht="12.75" customHeight="1">
      <c r="N274" s="30"/>
    </row>
    <row r="275" ht="12.75" customHeight="1">
      <c r="N275" s="30"/>
    </row>
    <row r="276" ht="12.75" customHeight="1">
      <c r="N276" s="30"/>
    </row>
    <row r="277" ht="12.75" customHeight="1">
      <c r="N277" s="30"/>
    </row>
    <row r="278" ht="12.75" customHeight="1">
      <c r="N278" s="30"/>
    </row>
    <row r="279" ht="12.75" customHeight="1">
      <c r="N279" s="30"/>
    </row>
    <row r="280" ht="12.75" customHeight="1">
      <c r="N280" s="30"/>
    </row>
    <row r="281" ht="12.75" customHeight="1">
      <c r="N281" s="30"/>
    </row>
    <row r="282" ht="12.75" customHeight="1">
      <c r="N282" s="30"/>
    </row>
    <row r="283" ht="12.75" customHeight="1">
      <c r="N283" s="30"/>
    </row>
    <row r="284" ht="12.75" customHeight="1">
      <c r="N284" s="30"/>
    </row>
    <row r="285" ht="12.75" customHeight="1">
      <c r="N285" s="30"/>
    </row>
    <row r="286" ht="12.75" customHeight="1">
      <c r="N286" s="30"/>
    </row>
    <row r="287" ht="12.75" customHeight="1">
      <c r="N287" s="30"/>
    </row>
    <row r="288" ht="12.75" customHeight="1">
      <c r="N288" s="30"/>
    </row>
    <row r="289" ht="12.75" customHeight="1">
      <c r="N289" s="30"/>
    </row>
    <row r="290" ht="12.75" customHeight="1">
      <c r="N290" s="30"/>
    </row>
    <row r="291" ht="12.75" customHeight="1">
      <c r="N291" s="30"/>
    </row>
    <row r="292" ht="12.75" customHeight="1">
      <c r="N292" s="30"/>
    </row>
    <row r="293" ht="12.75" customHeight="1">
      <c r="N293" s="30"/>
    </row>
    <row r="294" ht="12.75" customHeight="1">
      <c r="N294" s="30"/>
    </row>
    <row r="295" ht="12.75" customHeight="1">
      <c r="N295" s="30"/>
    </row>
    <row r="296" ht="12.75" customHeight="1">
      <c r="N296" s="30"/>
    </row>
    <row r="297" ht="12.75" customHeight="1">
      <c r="N297" s="30"/>
    </row>
    <row r="298" ht="12.75" customHeight="1">
      <c r="N298" s="30"/>
    </row>
    <row r="299" ht="12.75" customHeight="1">
      <c r="N299" s="30"/>
    </row>
    <row r="300" ht="12.75" customHeight="1">
      <c r="N300" s="30"/>
    </row>
    <row r="301" ht="12.75" customHeight="1">
      <c r="N301" s="30"/>
    </row>
    <row r="302" ht="12.75" customHeight="1">
      <c r="N302" s="30"/>
    </row>
    <row r="303" ht="12.75" customHeight="1">
      <c r="N303" s="30"/>
    </row>
    <row r="304" ht="12.75" customHeight="1">
      <c r="N304" s="30"/>
    </row>
    <row r="305" ht="12.75" customHeight="1">
      <c r="N305" s="30"/>
    </row>
    <row r="306" ht="12.75" customHeight="1">
      <c r="N306" s="30"/>
    </row>
    <row r="307" ht="12.75" customHeight="1">
      <c r="N307" s="30"/>
    </row>
    <row r="308" ht="12.75" customHeight="1">
      <c r="N308" s="30"/>
    </row>
    <row r="309" ht="12.75" customHeight="1">
      <c r="N309" s="30"/>
    </row>
    <row r="310" ht="12.75" customHeight="1">
      <c r="N310" s="30"/>
    </row>
    <row r="311" ht="12.75" customHeight="1">
      <c r="N311" s="30"/>
    </row>
    <row r="312" ht="12.75" customHeight="1">
      <c r="N312" s="30"/>
    </row>
    <row r="313" ht="12.75" customHeight="1">
      <c r="N313" s="30"/>
    </row>
    <row r="314" ht="12.75" customHeight="1">
      <c r="N314" s="30"/>
    </row>
    <row r="315" ht="12.75" customHeight="1">
      <c r="N315" s="30"/>
    </row>
    <row r="316" ht="12.75" customHeight="1">
      <c r="N316" s="30"/>
    </row>
    <row r="317" ht="12.75" customHeight="1">
      <c r="N317" s="30"/>
    </row>
    <row r="318" ht="12.75" customHeight="1">
      <c r="N318" s="30"/>
    </row>
    <row r="319" ht="12.75" customHeight="1">
      <c r="N319" s="30"/>
    </row>
    <row r="320" ht="12.75" customHeight="1">
      <c r="N320" s="30"/>
    </row>
    <row r="321" ht="12.75" customHeight="1">
      <c r="N321" s="30"/>
    </row>
    <row r="322" ht="12.75" customHeight="1">
      <c r="N322" s="30"/>
    </row>
    <row r="323" ht="12.75" customHeight="1">
      <c r="N323" s="30"/>
    </row>
    <row r="324" ht="12.75" customHeight="1">
      <c r="N324" s="30"/>
    </row>
    <row r="325" ht="12.75" customHeight="1">
      <c r="N325" s="30"/>
    </row>
    <row r="326" ht="12.75" customHeight="1">
      <c r="N326" s="30"/>
    </row>
    <row r="327" ht="12.75" customHeight="1">
      <c r="N327" s="30"/>
    </row>
    <row r="328" ht="12.75" customHeight="1">
      <c r="N328" s="30"/>
    </row>
    <row r="329" ht="12.75" customHeight="1">
      <c r="N329" s="30"/>
    </row>
    <row r="330" ht="12.75" customHeight="1">
      <c r="N330" s="30"/>
    </row>
    <row r="331" ht="12.75" customHeight="1">
      <c r="N331" s="30"/>
    </row>
    <row r="332" ht="12.75" customHeight="1">
      <c r="N332" s="30"/>
    </row>
    <row r="333" ht="12.75" customHeight="1">
      <c r="N333" s="30"/>
    </row>
    <row r="334" ht="12.75" customHeight="1">
      <c r="N334" s="30"/>
    </row>
    <row r="335" ht="12.75" customHeight="1">
      <c r="N335" s="30"/>
    </row>
    <row r="336" ht="12.75" customHeight="1">
      <c r="N336" s="30"/>
    </row>
    <row r="337" ht="12.75" customHeight="1">
      <c r="N337" s="30"/>
    </row>
    <row r="338" ht="12.75" customHeight="1">
      <c r="N338" s="30"/>
    </row>
    <row r="339" ht="12.75" customHeight="1">
      <c r="N339" s="30"/>
    </row>
    <row r="340" ht="12.75" customHeight="1">
      <c r="N340" s="30"/>
    </row>
    <row r="341" ht="12.75" customHeight="1">
      <c r="N341" s="30"/>
    </row>
    <row r="342" ht="12.75" customHeight="1">
      <c r="N342" s="30"/>
    </row>
    <row r="343" ht="12.75" customHeight="1">
      <c r="N343" s="30"/>
    </row>
    <row r="344" ht="12.75" customHeight="1">
      <c r="N344" s="30"/>
    </row>
    <row r="345" ht="12.75" customHeight="1">
      <c r="N345" s="30"/>
    </row>
    <row r="346" ht="12.75" customHeight="1">
      <c r="N346" s="30"/>
    </row>
    <row r="347" ht="12.75" customHeight="1">
      <c r="N347" s="30"/>
    </row>
    <row r="348" ht="12.75" customHeight="1">
      <c r="N348" s="30"/>
    </row>
    <row r="349" ht="12.75" customHeight="1">
      <c r="N349" s="30"/>
    </row>
    <row r="350" ht="12.75" customHeight="1">
      <c r="N350" s="30"/>
    </row>
    <row r="351" ht="12.75" customHeight="1">
      <c r="N351" s="30"/>
    </row>
    <row r="352" ht="12.75" customHeight="1">
      <c r="N352" s="30"/>
    </row>
    <row r="353" ht="12.75" customHeight="1">
      <c r="N353" s="30"/>
    </row>
    <row r="354" ht="12.75" customHeight="1">
      <c r="N354" s="30"/>
    </row>
    <row r="355" ht="12.75" customHeight="1">
      <c r="N355" s="30"/>
    </row>
    <row r="356" ht="12.75" customHeight="1">
      <c r="N356" s="30"/>
    </row>
    <row r="357" ht="12.75" customHeight="1">
      <c r="N357" s="30"/>
    </row>
    <row r="358" ht="12.75" customHeight="1">
      <c r="N358" s="30"/>
    </row>
    <row r="359" ht="12.75" customHeight="1">
      <c r="N359" s="30"/>
    </row>
    <row r="360" ht="12.75" customHeight="1">
      <c r="N360" s="30"/>
    </row>
    <row r="361" ht="12.75" customHeight="1">
      <c r="N361" s="30"/>
    </row>
    <row r="362" ht="12.75" customHeight="1">
      <c r="N362" s="30"/>
    </row>
    <row r="363" ht="12.75" customHeight="1">
      <c r="N363" s="30"/>
    </row>
    <row r="364" ht="12.75" customHeight="1">
      <c r="N364" s="30"/>
    </row>
    <row r="365" ht="12.75" customHeight="1">
      <c r="N365" s="30"/>
    </row>
    <row r="366" ht="12.75" customHeight="1">
      <c r="N366" s="30"/>
    </row>
    <row r="367" ht="12.75" customHeight="1">
      <c r="N367" s="30"/>
    </row>
    <row r="368" ht="12.75" customHeight="1">
      <c r="N368" s="30"/>
    </row>
    <row r="369" ht="12.75" customHeight="1">
      <c r="N369" s="30"/>
    </row>
    <row r="370" ht="12.75" customHeight="1">
      <c r="N370" s="30"/>
    </row>
    <row r="371" ht="12.75" customHeight="1">
      <c r="N371" s="30"/>
    </row>
    <row r="372" ht="12.75" customHeight="1">
      <c r="N372" s="30"/>
    </row>
    <row r="373" ht="12.75" customHeight="1">
      <c r="N373" s="30"/>
    </row>
    <row r="374" ht="12.75" customHeight="1">
      <c r="N374" s="30"/>
    </row>
    <row r="375" ht="12.75" customHeight="1">
      <c r="N375" s="30"/>
    </row>
    <row r="376" ht="12.75" customHeight="1">
      <c r="N376" s="30"/>
    </row>
    <row r="377" ht="12.75" customHeight="1">
      <c r="N377" s="30"/>
    </row>
    <row r="378" ht="12.75" customHeight="1">
      <c r="N378" s="30"/>
    </row>
    <row r="379" ht="12.75" customHeight="1">
      <c r="N379" s="30"/>
    </row>
    <row r="380" ht="12.75" customHeight="1">
      <c r="N380" s="30"/>
    </row>
    <row r="381" ht="12.75" customHeight="1">
      <c r="N381" s="30"/>
    </row>
    <row r="382" ht="12.75" customHeight="1">
      <c r="N382" s="30"/>
    </row>
    <row r="383" ht="12.75" customHeight="1">
      <c r="N383" s="30"/>
    </row>
    <row r="384" ht="12.75" customHeight="1">
      <c r="N384" s="30"/>
    </row>
    <row r="385" ht="12.75" customHeight="1">
      <c r="N385" s="30"/>
    </row>
    <row r="386" ht="12.75" customHeight="1">
      <c r="N386" s="30"/>
    </row>
    <row r="387" ht="12.75" customHeight="1">
      <c r="N387" s="30"/>
    </row>
    <row r="388" ht="12.75" customHeight="1">
      <c r="N388" s="30"/>
    </row>
    <row r="389" ht="12.75" customHeight="1">
      <c r="N389" s="30"/>
    </row>
    <row r="390" ht="12.75" customHeight="1">
      <c r="N390" s="30"/>
    </row>
    <row r="391" ht="12.75" customHeight="1">
      <c r="N391" s="30"/>
    </row>
    <row r="392" ht="12.75" customHeight="1">
      <c r="N392" s="30"/>
    </row>
    <row r="393" ht="12.75" customHeight="1">
      <c r="N393" s="30"/>
    </row>
    <row r="394" ht="12.75" customHeight="1">
      <c r="N394" s="30"/>
    </row>
    <row r="395" ht="12.75" customHeight="1">
      <c r="N395" s="30"/>
    </row>
    <row r="396" ht="12.75" customHeight="1">
      <c r="N396" s="30"/>
    </row>
    <row r="397" ht="12.75" customHeight="1">
      <c r="N397" s="30"/>
    </row>
    <row r="398" ht="12.75" customHeight="1">
      <c r="N398" s="30"/>
    </row>
    <row r="399" ht="12.75" customHeight="1">
      <c r="N399" s="30"/>
    </row>
    <row r="400" ht="12.75" customHeight="1">
      <c r="N400" s="30"/>
    </row>
    <row r="401" ht="12.75" customHeight="1">
      <c r="N401" s="30"/>
    </row>
    <row r="402" ht="12.75" customHeight="1">
      <c r="N402" s="30"/>
    </row>
    <row r="403" ht="12.75" customHeight="1">
      <c r="N403" s="30"/>
    </row>
    <row r="404" ht="12.75" customHeight="1">
      <c r="N404" s="30"/>
    </row>
    <row r="405" ht="12.75" customHeight="1">
      <c r="N405" s="30"/>
    </row>
    <row r="406" ht="12.75" customHeight="1">
      <c r="N406" s="30"/>
    </row>
    <row r="407" ht="12.75" customHeight="1">
      <c r="N407" s="30"/>
    </row>
    <row r="408" ht="12.75" customHeight="1">
      <c r="N408" s="30"/>
    </row>
    <row r="409" ht="12.75" customHeight="1">
      <c r="N409" s="30"/>
    </row>
    <row r="410" ht="12.75" customHeight="1">
      <c r="N410" s="30"/>
    </row>
    <row r="411" ht="12.75" customHeight="1">
      <c r="N411" s="30"/>
    </row>
    <row r="412" ht="12.75" customHeight="1">
      <c r="N412" s="30"/>
    </row>
    <row r="413" ht="12.75" customHeight="1">
      <c r="N413" s="30"/>
    </row>
    <row r="414" ht="12.75" customHeight="1">
      <c r="N414" s="30"/>
    </row>
    <row r="415" ht="12.75" customHeight="1">
      <c r="N415" s="30"/>
    </row>
    <row r="416" ht="12.75" customHeight="1">
      <c r="N416" s="30"/>
    </row>
    <row r="417" ht="12.75" customHeight="1">
      <c r="N417" s="30"/>
    </row>
    <row r="418" ht="12.75" customHeight="1">
      <c r="N418" s="30"/>
    </row>
    <row r="419" ht="12.75" customHeight="1">
      <c r="N419" s="30"/>
    </row>
    <row r="420" ht="12.75" customHeight="1">
      <c r="N420" s="30"/>
    </row>
    <row r="421" ht="12.75" customHeight="1">
      <c r="N421" s="30"/>
    </row>
    <row r="422" ht="12.75" customHeight="1">
      <c r="N422" s="30"/>
    </row>
    <row r="423" ht="12.75" customHeight="1">
      <c r="N423" s="30"/>
    </row>
    <row r="424" ht="12.75" customHeight="1">
      <c r="N424" s="30"/>
    </row>
    <row r="425" ht="12.75" customHeight="1">
      <c r="N425" s="30"/>
    </row>
    <row r="426" ht="12.75" customHeight="1">
      <c r="N426" s="30"/>
    </row>
    <row r="427" ht="12.75" customHeight="1">
      <c r="N427" s="30"/>
    </row>
    <row r="428" ht="12.75" customHeight="1">
      <c r="N428" s="30"/>
    </row>
    <row r="429" ht="12.75" customHeight="1">
      <c r="N429" s="30"/>
    </row>
    <row r="430" ht="12.75" customHeight="1">
      <c r="N430" s="30"/>
    </row>
    <row r="431" ht="12.75" customHeight="1">
      <c r="N431" s="30"/>
    </row>
    <row r="432" ht="12.75" customHeight="1">
      <c r="N432" s="30"/>
    </row>
    <row r="433" ht="12.75" customHeight="1">
      <c r="N433" s="30"/>
    </row>
    <row r="434" ht="12.75" customHeight="1">
      <c r="N434" s="30"/>
    </row>
    <row r="435" ht="12.75" customHeight="1">
      <c r="N435" s="30"/>
    </row>
    <row r="436" ht="12.75" customHeight="1">
      <c r="N436" s="30"/>
    </row>
    <row r="437" ht="12.75" customHeight="1">
      <c r="N437" s="30"/>
    </row>
    <row r="438" ht="12.75" customHeight="1">
      <c r="N438" s="30"/>
    </row>
    <row r="439" ht="12.75" customHeight="1">
      <c r="N439" s="30"/>
    </row>
    <row r="440" ht="12.75" customHeight="1">
      <c r="N440" s="30"/>
    </row>
    <row r="441" ht="12.75" customHeight="1">
      <c r="N441" s="30"/>
    </row>
    <row r="442" ht="12.75" customHeight="1">
      <c r="N442" s="30"/>
    </row>
    <row r="443" ht="12.75" customHeight="1">
      <c r="N443" s="30"/>
    </row>
    <row r="444" ht="12.75" customHeight="1">
      <c r="N444" s="30"/>
    </row>
    <row r="445" ht="12.75" customHeight="1">
      <c r="N445" s="30"/>
    </row>
    <row r="446" ht="12.75" customHeight="1">
      <c r="N446" s="30"/>
    </row>
    <row r="447" ht="12.75" customHeight="1">
      <c r="N447" s="30"/>
    </row>
    <row r="448" ht="12.75" customHeight="1">
      <c r="N448" s="30"/>
    </row>
    <row r="449" ht="12.75" customHeight="1">
      <c r="N449" s="30"/>
    </row>
    <row r="450" ht="12.75" customHeight="1">
      <c r="N450" s="30"/>
    </row>
    <row r="451" ht="12.75" customHeight="1">
      <c r="N451" s="30"/>
    </row>
    <row r="452" ht="12.75" customHeight="1">
      <c r="N452" s="30"/>
    </row>
    <row r="453" ht="12.75" customHeight="1">
      <c r="N453" s="30"/>
    </row>
    <row r="454" ht="12.75" customHeight="1">
      <c r="N454" s="30"/>
    </row>
    <row r="455" ht="12.75" customHeight="1">
      <c r="N455" s="30"/>
    </row>
    <row r="456" ht="12.75" customHeight="1">
      <c r="N456" s="30"/>
    </row>
    <row r="457" ht="12.75" customHeight="1">
      <c r="N457" s="30"/>
    </row>
    <row r="458" ht="12.75" customHeight="1">
      <c r="N458" s="30"/>
    </row>
    <row r="459" ht="12.75" customHeight="1">
      <c r="N459" s="30"/>
    </row>
    <row r="460" ht="12.75" customHeight="1">
      <c r="N460" s="30"/>
    </row>
    <row r="461" ht="12.75" customHeight="1">
      <c r="N461" s="30"/>
    </row>
    <row r="462" ht="12.75" customHeight="1">
      <c r="N462" s="30"/>
    </row>
    <row r="463" ht="12.75" customHeight="1">
      <c r="N463" s="30"/>
    </row>
    <row r="464" ht="12.75" customHeight="1">
      <c r="N464" s="30"/>
    </row>
    <row r="465" ht="12.75" customHeight="1">
      <c r="N465" s="30"/>
    </row>
    <row r="466" ht="12.75" customHeight="1">
      <c r="N466" s="30"/>
    </row>
    <row r="467" ht="12.75" customHeight="1">
      <c r="N467" s="30"/>
    </row>
    <row r="468" ht="12.75" customHeight="1">
      <c r="N468" s="30"/>
    </row>
    <row r="469" ht="12.75" customHeight="1">
      <c r="N469" s="30"/>
    </row>
    <row r="470" ht="12.75" customHeight="1">
      <c r="N470" s="30"/>
    </row>
    <row r="471" ht="12.75" customHeight="1">
      <c r="N471" s="30"/>
    </row>
    <row r="472" ht="12.75" customHeight="1">
      <c r="N472" s="30"/>
    </row>
    <row r="473" ht="12.75" customHeight="1">
      <c r="N473" s="30"/>
    </row>
    <row r="474" ht="12.75" customHeight="1">
      <c r="N474" s="30"/>
    </row>
    <row r="475" ht="12.75" customHeight="1">
      <c r="N475" s="30"/>
    </row>
    <row r="476" ht="12.75" customHeight="1">
      <c r="N476" s="30"/>
    </row>
    <row r="477" ht="12.75" customHeight="1">
      <c r="N477" s="30"/>
    </row>
    <row r="478" ht="12.75" customHeight="1">
      <c r="N478" s="30"/>
    </row>
    <row r="479" ht="12.75" customHeight="1">
      <c r="N479" s="30"/>
    </row>
    <row r="480" ht="12.75" customHeight="1">
      <c r="N480" s="30"/>
    </row>
    <row r="481" ht="12.75" customHeight="1">
      <c r="N481" s="30"/>
    </row>
    <row r="482" ht="12.75" customHeight="1">
      <c r="N482" s="30"/>
    </row>
    <row r="483" ht="12.75" customHeight="1">
      <c r="N483" s="30"/>
    </row>
    <row r="484" ht="12.75" customHeight="1">
      <c r="N484" s="30"/>
    </row>
    <row r="485" ht="12.75" customHeight="1">
      <c r="N485" s="30"/>
    </row>
    <row r="486" ht="12.75" customHeight="1">
      <c r="N486" s="30"/>
    </row>
    <row r="487" ht="12.75" customHeight="1">
      <c r="N487" s="30"/>
    </row>
    <row r="488" ht="12.75" customHeight="1">
      <c r="N488" s="30"/>
    </row>
    <row r="489" ht="12.75" customHeight="1">
      <c r="N489" s="30"/>
    </row>
    <row r="490" ht="12.75" customHeight="1">
      <c r="N490" s="30"/>
    </row>
    <row r="491" ht="12.75" customHeight="1">
      <c r="N491" s="30"/>
    </row>
    <row r="492" ht="12.75" customHeight="1">
      <c r="N492" s="30"/>
    </row>
    <row r="493" ht="12.75" customHeight="1">
      <c r="N493" s="30"/>
    </row>
    <row r="494" ht="12.75" customHeight="1">
      <c r="N494" s="30"/>
    </row>
    <row r="495" ht="12.75" customHeight="1">
      <c r="N495" s="30"/>
    </row>
    <row r="496" ht="12.75" customHeight="1">
      <c r="N496" s="30"/>
    </row>
    <row r="497" ht="12.75" customHeight="1">
      <c r="N497" s="30"/>
    </row>
    <row r="498" ht="12.75" customHeight="1">
      <c r="N498" s="30"/>
    </row>
    <row r="499" ht="12.75" customHeight="1">
      <c r="N499" s="30"/>
    </row>
    <row r="500" ht="12.75" customHeight="1">
      <c r="N500" s="30"/>
    </row>
    <row r="501" ht="12.75" customHeight="1">
      <c r="N501" s="30"/>
    </row>
    <row r="502" ht="12.75" customHeight="1">
      <c r="N502" s="30"/>
    </row>
    <row r="503" ht="12.75" customHeight="1">
      <c r="N503" s="30"/>
    </row>
    <row r="504" ht="12.75" customHeight="1">
      <c r="N504" s="30"/>
    </row>
    <row r="505" ht="12.75" customHeight="1">
      <c r="N505" s="30"/>
    </row>
    <row r="506" ht="12.75" customHeight="1">
      <c r="N506" s="30"/>
    </row>
    <row r="507" ht="12.75" customHeight="1">
      <c r="N507" s="30"/>
    </row>
    <row r="508" ht="12.75" customHeight="1">
      <c r="N508" s="30"/>
    </row>
    <row r="509" ht="12.75" customHeight="1">
      <c r="N509" s="30"/>
    </row>
    <row r="510" ht="12.75" customHeight="1">
      <c r="N510" s="30"/>
    </row>
    <row r="511" ht="12.75" customHeight="1">
      <c r="N511" s="30"/>
    </row>
    <row r="512" ht="12.75" customHeight="1">
      <c r="N512" s="30"/>
    </row>
    <row r="513" ht="12.75" customHeight="1">
      <c r="N513" s="30"/>
    </row>
    <row r="514" ht="12.75" customHeight="1">
      <c r="N514" s="30"/>
    </row>
    <row r="515" ht="12.75" customHeight="1">
      <c r="N515" s="30"/>
    </row>
    <row r="516" ht="12.75" customHeight="1">
      <c r="N516" s="30"/>
    </row>
    <row r="517" ht="12.75" customHeight="1">
      <c r="N517" s="30"/>
    </row>
    <row r="518" ht="12.75" customHeight="1">
      <c r="N518" s="30"/>
    </row>
    <row r="519" ht="12.75" customHeight="1">
      <c r="N519" s="30"/>
    </row>
    <row r="520" ht="12.75" customHeight="1">
      <c r="N520" s="30"/>
    </row>
    <row r="521" ht="12.75" customHeight="1">
      <c r="N521" s="30"/>
    </row>
    <row r="522" ht="12.75" customHeight="1">
      <c r="N522" s="30"/>
    </row>
    <row r="523" ht="12.75" customHeight="1">
      <c r="N523" s="30"/>
    </row>
    <row r="524" ht="12.75" customHeight="1">
      <c r="N524" s="30"/>
    </row>
    <row r="525" ht="12.75" customHeight="1">
      <c r="N525" s="30"/>
    </row>
    <row r="526" ht="12.75" customHeight="1">
      <c r="N526" s="30"/>
    </row>
    <row r="527" ht="12.75" customHeight="1">
      <c r="N527" s="30"/>
    </row>
    <row r="528" ht="12.75" customHeight="1">
      <c r="N528" s="30"/>
    </row>
    <row r="529" ht="12.75" customHeight="1">
      <c r="N529" s="30"/>
    </row>
    <row r="530" ht="12.75" customHeight="1">
      <c r="N530" s="30"/>
    </row>
    <row r="531" ht="12.75" customHeight="1">
      <c r="N531" s="30"/>
    </row>
    <row r="532" ht="12.75" customHeight="1">
      <c r="N532" s="30"/>
    </row>
    <row r="533" ht="12.75" customHeight="1">
      <c r="N533" s="30"/>
    </row>
    <row r="534" ht="12.75" customHeight="1">
      <c r="N534" s="30"/>
    </row>
    <row r="535" ht="12.75" customHeight="1">
      <c r="N535" s="30"/>
    </row>
    <row r="536" ht="12.75" customHeight="1">
      <c r="N536" s="30"/>
    </row>
    <row r="537" ht="12.75" customHeight="1">
      <c r="N537" s="30"/>
    </row>
    <row r="538" ht="12.75" customHeight="1">
      <c r="N538" s="30"/>
    </row>
    <row r="539" ht="12.75" customHeight="1">
      <c r="N539" s="30"/>
    </row>
    <row r="540" ht="12.75" customHeight="1">
      <c r="N540" s="30"/>
    </row>
    <row r="541" ht="12.75" customHeight="1">
      <c r="N541" s="30"/>
    </row>
    <row r="542" ht="12.75" customHeight="1">
      <c r="N542" s="30"/>
    </row>
    <row r="543" ht="12.75" customHeight="1">
      <c r="N543" s="30"/>
    </row>
    <row r="544" ht="12.75" customHeight="1">
      <c r="N544" s="30"/>
    </row>
    <row r="545" ht="12.75" customHeight="1">
      <c r="N545" s="30"/>
    </row>
    <row r="546" ht="12.75" customHeight="1">
      <c r="N546" s="30"/>
    </row>
    <row r="547" ht="12.75" customHeight="1">
      <c r="N547" s="30"/>
    </row>
    <row r="548" ht="12.75" customHeight="1">
      <c r="N548" s="30"/>
    </row>
    <row r="549" ht="12.75" customHeight="1">
      <c r="N549" s="30"/>
    </row>
    <row r="550" ht="12.75" customHeight="1">
      <c r="N550" s="30"/>
    </row>
    <row r="551" ht="12.75" customHeight="1">
      <c r="N551" s="30"/>
    </row>
    <row r="552" ht="12.75" customHeight="1">
      <c r="N552" s="30"/>
    </row>
    <row r="553" ht="12.75" customHeight="1">
      <c r="N553" s="30"/>
    </row>
    <row r="554" ht="12.75" customHeight="1">
      <c r="N554" s="30"/>
    </row>
    <row r="555" ht="12.75" customHeight="1">
      <c r="N555" s="30"/>
    </row>
    <row r="556" ht="12.75" customHeight="1">
      <c r="N556" s="30"/>
    </row>
    <row r="557" ht="12.75" customHeight="1">
      <c r="N557" s="30"/>
    </row>
    <row r="558" ht="12.75" customHeight="1">
      <c r="N558" s="30"/>
    </row>
    <row r="559" ht="12.75" customHeight="1">
      <c r="N559" s="30"/>
    </row>
    <row r="560" ht="12.75" customHeight="1">
      <c r="N560" s="30"/>
    </row>
    <row r="561" ht="12.75" customHeight="1">
      <c r="N561" s="30"/>
    </row>
    <row r="562" ht="12.75" customHeight="1">
      <c r="N562" s="30"/>
    </row>
    <row r="563" ht="12.75" customHeight="1">
      <c r="N563" s="30"/>
    </row>
    <row r="564" ht="12.75" customHeight="1">
      <c r="N564" s="30"/>
    </row>
    <row r="565" ht="12.75" customHeight="1">
      <c r="N565" s="30"/>
    </row>
    <row r="566" ht="12.75" customHeight="1">
      <c r="N566" s="30"/>
    </row>
    <row r="567" ht="12.75" customHeight="1">
      <c r="N567" s="30"/>
    </row>
    <row r="568" ht="12.75" customHeight="1">
      <c r="N568" s="30"/>
    </row>
    <row r="569" ht="12.75" customHeight="1">
      <c r="N569" s="30"/>
    </row>
    <row r="570" ht="12.75" customHeight="1">
      <c r="N570" s="30"/>
    </row>
    <row r="571" ht="12.75" customHeight="1">
      <c r="N571" s="30"/>
    </row>
    <row r="572" ht="12.75" customHeight="1">
      <c r="N572" s="30"/>
    </row>
    <row r="573" ht="12.75" customHeight="1">
      <c r="N573" s="30"/>
    </row>
    <row r="574" ht="12.75" customHeight="1">
      <c r="N574" s="30"/>
    </row>
    <row r="575" ht="12.75" customHeight="1">
      <c r="N575" s="30"/>
    </row>
    <row r="576" ht="12.75" customHeight="1">
      <c r="N576" s="30"/>
    </row>
    <row r="577" ht="12.75" customHeight="1">
      <c r="N577" s="30"/>
    </row>
    <row r="578" ht="12.75" customHeight="1">
      <c r="N578" s="30"/>
    </row>
    <row r="579" ht="12.75" customHeight="1">
      <c r="N579" s="30"/>
    </row>
    <row r="580" ht="12.75" customHeight="1">
      <c r="N580" s="30"/>
    </row>
    <row r="581" ht="12.75" customHeight="1">
      <c r="N581" s="30"/>
    </row>
    <row r="582" ht="12.75" customHeight="1">
      <c r="N582" s="30"/>
    </row>
    <row r="583" ht="12.75" customHeight="1">
      <c r="N583" s="30"/>
    </row>
    <row r="584" ht="12.75" customHeight="1">
      <c r="N584" s="30"/>
    </row>
    <row r="585" ht="12.75" customHeight="1">
      <c r="N585" s="30"/>
    </row>
    <row r="586" ht="12.75" customHeight="1">
      <c r="N586" s="30"/>
    </row>
    <row r="587" ht="12.75" customHeight="1">
      <c r="N587" s="30"/>
    </row>
    <row r="588" ht="12.75" customHeight="1">
      <c r="N588" s="30"/>
    </row>
    <row r="589" ht="12.75" customHeight="1">
      <c r="N589" s="30"/>
    </row>
    <row r="590" ht="12.75" customHeight="1">
      <c r="N590" s="30"/>
    </row>
    <row r="591" ht="12.75" customHeight="1">
      <c r="N591" s="30"/>
    </row>
    <row r="592" ht="12.75" customHeight="1">
      <c r="N592" s="30"/>
    </row>
    <row r="593" ht="12.75" customHeight="1">
      <c r="N593" s="30"/>
    </row>
    <row r="594" ht="12.75" customHeight="1">
      <c r="N594" s="30"/>
    </row>
    <row r="595" ht="12.75" customHeight="1">
      <c r="N595" s="30"/>
    </row>
    <row r="596" ht="12.75" customHeight="1">
      <c r="N596" s="30"/>
    </row>
    <row r="597" ht="12.75" customHeight="1">
      <c r="N597" s="30"/>
    </row>
    <row r="598" ht="12.75" customHeight="1">
      <c r="N598" s="30"/>
    </row>
    <row r="599" ht="12.75" customHeight="1">
      <c r="N599" s="30"/>
    </row>
    <row r="600" ht="12.75" customHeight="1">
      <c r="N600" s="30"/>
    </row>
    <row r="601" ht="12.75" customHeight="1">
      <c r="N601" s="30"/>
    </row>
    <row r="602" ht="12.75" customHeight="1">
      <c r="N602" s="30"/>
    </row>
    <row r="603" ht="12.75" customHeight="1">
      <c r="N603" s="30"/>
    </row>
    <row r="604" ht="12.75" customHeight="1">
      <c r="N604" s="30"/>
    </row>
    <row r="605" ht="12.75" customHeight="1">
      <c r="N605" s="30"/>
    </row>
    <row r="606" ht="12.75" customHeight="1">
      <c r="N606" s="30"/>
    </row>
    <row r="607" ht="12.75" customHeight="1">
      <c r="N607" s="30"/>
    </row>
    <row r="608" ht="12.75" customHeight="1">
      <c r="N608" s="30"/>
    </row>
    <row r="609" ht="12.75" customHeight="1">
      <c r="N609" s="30"/>
    </row>
    <row r="610" ht="12.75" customHeight="1">
      <c r="N610" s="30"/>
    </row>
    <row r="611" ht="12.75" customHeight="1">
      <c r="N611" s="30"/>
    </row>
    <row r="612" ht="12.75" customHeight="1">
      <c r="N612" s="30"/>
    </row>
    <row r="613" ht="12.75" customHeight="1">
      <c r="N613" s="30"/>
    </row>
    <row r="614" ht="12.75" customHeight="1">
      <c r="N614" s="30"/>
    </row>
    <row r="615" ht="12.75" customHeight="1">
      <c r="N615" s="30"/>
    </row>
    <row r="616" ht="12.75" customHeight="1">
      <c r="N616" s="30"/>
    </row>
    <row r="617" ht="12.75" customHeight="1">
      <c r="N617" s="30"/>
    </row>
    <row r="618" ht="12.75" customHeight="1">
      <c r="N618" s="30"/>
    </row>
    <row r="619" ht="12.75" customHeight="1">
      <c r="N619" s="30"/>
    </row>
    <row r="620" ht="12.75" customHeight="1">
      <c r="N620" s="30"/>
    </row>
    <row r="621" ht="12.75" customHeight="1">
      <c r="N621" s="30"/>
    </row>
    <row r="622" ht="12.75" customHeight="1">
      <c r="N622" s="30"/>
    </row>
    <row r="623" ht="12.75" customHeight="1">
      <c r="N623" s="30"/>
    </row>
    <row r="624" ht="12.75" customHeight="1">
      <c r="N624" s="30"/>
    </row>
    <row r="625" ht="12.75" customHeight="1">
      <c r="N625" s="30"/>
    </row>
    <row r="626" ht="12.75" customHeight="1">
      <c r="N626" s="30"/>
    </row>
    <row r="627" ht="12.75" customHeight="1">
      <c r="N627" s="30"/>
    </row>
    <row r="628" ht="12.75" customHeight="1">
      <c r="N628" s="30"/>
    </row>
    <row r="629" ht="12.75" customHeight="1">
      <c r="N629" s="30"/>
    </row>
    <row r="630" ht="12.75" customHeight="1">
      <c r="N630" s="30"/>
    </row>
    <row r="631" ht="12.75" customHeight="1">
      <c r="N631" s="30"/>
    </row>
    <row r="632" ht="12.75" customHeight="1">
      <c r="N632" s="30"/>
    </row>
    <row r="633" ht="12.75" customHeight="1">
      <c r="N633" s="30"/>
    </row>
    <row r="634" ht="12.75" customHeight="1">
      <c r="N634" s="30"/>
    </row>
    <row r="635" ht="12.75" customHeight="1">
      <c r="N635" s="30"/>
    </row>
    <row r="636" ht="12.75" customHeight="1">
      <c r="N636" s="30"/>
    </row>
    <row r="637" ht="12.75" customHeight="1">
      <c r="N637" s="30"/>
    </row>
    <row r="638" ht="12.75" customHeight="1">
      <c r="N638" s="30"/>
    </row>
    <row r="639" ht="12.75" customHeight="1">
      <c r="N639" s="30"/>
    </row>
    <row r="640" ht="12.75" customHeight="1">
      <c r="N640" s="30"/>
    </row>
    <row r="641" ht="12.75" customHeight="1">
      <c r="N641" s="30"/>
    </row>
    <row r="642" ht="12.75" customHeight="1">
      <c r="N642" s="30"/>
    </row>
    <row r="643" ht="12.75" customHeight="1">
      <c r="N643" s="30"/>
    </row>
    <row r="644" ht="12.75" customHeight="1">
      <c r="N644" s="30"/>
    </row>
    <row r="645" ht="12.75" customHeight="1">
      <c r="N645" s="30"/>
    </row>
    <row r="646" ht="12.75" customHeight="1">
      <c r="N646" s="30"/>
    </row>
    <row r="647" ht="12.75" customHeight="1">
      <c r="N647" s="30"/>
    </row>
    <row r="648" ht="12.75" customHeight="1">
      <c r="N648" s="30"/>
    </row>
    <row r="649" ht="12.75" customHeight="1">
      <c r="N649" s="30"/>
    </row>
    <row r="650" ht="12.75" customHeight="1">
      <c r="N650" s="30"/>
    </row>
    <row r="651" ht="12.75" customHeight="1">
      <c r="N651" s="30"/>
    </row>
    <row r="652" ht="12.75" customHeight="1">
      <c r="N652" s="30"/>
    </row>
    <row r="653" ht="12.75" customHeight="1">
      <c r="N653" s="30"/>
    </row>
    <row r="654" ht="12.75" customHeight="1">
      <c r="N654" s="30"/>
    </row>
    <row r="655" ht="12.75" customHeight="1">
      <c r="N655" s="30"/>
    </row>
    <row r="656" ht="12.75" customHeight="1">
      <c r="N656" s="30"/>
    </row>
    <row r="657" ht="12.75" customHeight="1">
      <c r="N657" s="30"/>
    </row>
    <row r="658" ht="12.75" customHeight="1">
      <c r="N658" s="30"/>
    </row>
    <row r="659" ht="12.75" customHeight="1">
      <c r="N659" s="30"/>
    </row>
    <row r="660" ht="12.75" customHeight="1">
      <c r="N660" s="30"/>
    </row>
    <row r="661" ht="12.75" customHeight="1">
      <c r="N661" s="30"/>
    </row>
    <row r="662" ht="12.75" customHeight="1">
      <c r="N662" s="30"/>
    </row>
    <row r="663" ht="12.75" customHeight="1">
      <c r="N663" s="30"/>
    </row>
    <row r="664" ht="12.75" customHeight="1">
      <c r="N664" s="30"/>
    </row>
    <row r="665" ht="12.75" customHeight="1">
      <c r="N665" s="30"/>
    </row>
    <row r="666" ht="12.75" customHeight="1">
      <c r="N666" s="30"/>
    </row>
    <row r="667" ht="12.75" customHeight="1">
      <c r="N667" s="30"/>
    </row>
    <row r="668" ht="12.75" customHeight="1">
      <c r="N668" s="30"/>
    </row>
    <row r="669" ht="12.75" customHeight="1">
      <c r="N669" s="30"/>
    </row>
    <row r="670" ht="12.75" customHeight="1">
      <c r="N670" s="30"/>
    </row>
    <row r="671" ht="12.75" customHeight="1">
      <c r="N671" s="30"/>
    </row>
    <row r="672" ht="12.75" customHeight="1">
      <c r="N672" s="30"/>
    </row>
    <row r="673" ht="12.75" customHeight="1">
      <c r="N673" s="30"/>
    </row>
    <row r="674" ht="12.75" customHeight="1">
      <c r="N674" s="30"/>
    </row>
    <row r="675" ht="12.75" customHeight="1">
      <c r="N675" s="30"/>
    </row>
    <row r="676" ht="12.75" customHeight="1">
      <c r="N676" s="30"/>
    </row>
    <row r="677" ht="12.75" customHeight="1">
      <c r="N677" s="30"/>
    </row>
    <row r="678" ht="12.75" customHeight="1">
      <c r="N678" s="30"/>
    </row>
    <row r="679" ht="12.75" customHeight="1">
      <c r="N679" s="30"/>
    </row>
    <row r="680" ht="12.75" customHeight="1">
      <c r="N680" s="30"/>
    </row>
    <row r="681" ht="12.75" customHeight="1">
      <c r="N681" s="30"/>
    </row>
    <row r="682" ht="12.75" customHeight="1">
      <c r="N682" s="30"/>
    </row>
    <row r="683" ht="12.75" customHeight="1">
      <c r="N683" s="30"/>
    </row>
    <row r="684" ht="12.75" customHeight="1">
      <c r="N684" s="30"/>
    </row>
    <row r="685" ht="12.75" customHeight="1">
      <c r="N685" s="30"/>
    </row>
    <row r="686" ht="12.75" customHeight="1">
      <c r="N686" s="30"/>
    </row>
    <row r="687" ht="12.75" customHeight="1">
      <c r="N687" s="30"/>
    </row>
    <row r="688" ht="12.75" customHeight="1">
      <c r="N688" s="30"/>
    </row>
    <row r="689" ht="12.75" customHeight="1">
      <c r="N689" s="30"/>
    </row>
    <row r="690" ht="12.75" customHeight="1">
      <c r="N690" s="30"/>
    </row>
    <row r="691" ht="12.75" customHeight="1">
      <c r="N691" s="30"/>
    </row>
    <row r="692" ht="12.75" customHeight="1">
      <c r="N692" s="30"/>
    </row>
    <row r="693" ht="12.75" customHeight="1">
      <c r="N693" s="30"/>
    </row>
    <row r="694" ht="12.75" customHeight="1">
      <c r="N694" s="30"/>
    </row>
    <row r="695" ht="12.75" customHeight="1">
      <c r="N695" s="30"/>
    </row>
    <row r="696" ht="12.75" customHeight="1">
      <c r="N696" s="30"/>
    </row>
    <row r="697" ht="12.75" customHeight="1">
      <c r="N697" s="30"/>
    </row>
    <row r="698" ht="12.75" customHeight="1">
      <c r="N698" s="30"/>
    </row>
    <row r="699" ht="12.75" customHeight="1">
      <c r="N699" s="30"/>
    </row>
    <row r="700" ht="12.75" customHeight="1">
      <c r="N700" s="30"/>
    </row>
    <row r="701" ht="12.75" customHeight="1">
      <c r="N701" s="30"/>
    </row>
    <row r="702" ht="12.75" customHeight="1">
      <c r="N702" s="30"/>
    </row>
    <row r="703" ht="12.75" customHeight="1">
      <c r="N703" s="30"/>
    </row>
    <row r="704" ht="12.75" customHeight="1">
      <c r="N704" s="30"/>
    </row>
    <row r="705" ht="12.75" customHeight="1">
      <c r="N705" s="30"/>
    </row>
    <row r="706" ht="12.75" customHeight="1">
      <c r="N706" s="30"/>
    </row>
    <row r="707" ht="12.75" customHeight="1">
      <c r="N707" s="30"/>
    </row>
    <row r="708" ht="12.75" customHeight="1">
      <c r="N708" s="30"/>
    </row>
    <row r="709" ht="12.75" customHeight="1">
      <c r="N709" s="30"/>
    </row>
    <row r="710" ht="12.75" customHeight="1">
      <c r="N710" s="30"/>
    </row>
    <row r="711" ht="12.75" customHeight="1">
      <c r="N711" s="30"/>
    </row>
    <row r="712" ht="12.75" customHeight="1">
      <c r="N712" s="30"/>
    </row>
    <row r="713" ht="12.75" customHeight="1">
      <c r="N713" s="30"/>
    </row>
    <row r="714" ht="12.75" customHeight="1">
      <c r="N714" s="30"/>
    </row>
    <row r="715" ht="12.75" customHeight="1">
      <c r="N715" s="30"/>
    </row>
    <row r="716" ht="12.75" customHeight="1">
      <c r="N716" s="30"/>
    </row>
    <row r="717" ht="12.75" customHeight="1">
      <c r="N717" s="30"/>
    </row>
    <row r="718" ht="12.75" customHeight="1">
      <c r="N718" s="30"/>
    </row>
    <row r="719" ht="12.75" customHeight="1">
      <c r="N719" s="30"/>
    </row>
    <row r="720" ht="12.75" customHeight="1">
      <c r="N720" s="30"/>
    </row>
    <row r="721" ht="12.75" customHeight="1">
      <c r="N721" s="30"/>
    </row>
    <row r="722" ht="12.75" customHeight="1">
      <c r="N722" s="30"/>
    </row>
    <row r="723" ht="12.75" customHeight="1">
      <c r="N723" s="30"/>
    </row>
    <row r="724" ht="12.75" customHeight="1">
      <c r="N724" s="30"/>
    </row>
    <row r="725" ht="12.75" customHeight="1">
      <c r="N725" s="30"/>
    </row>
    <row r="726" ht="12.75" customHeight="1">
      <c r="N726" s="30"/>
    </row>
    <row r="727" ht="12.75" customHeight="1">
      <c r="N727" s="30"/>
    </row>
    <row r="728" ht="12.75" customHeight="1">
      <c r="N728" s="30"/>
    </row>
    <row r="729" ht="12.75" customHeight="1">
      <c r="N729" s="30"/>
    </row>
    <row r="730" ht="12.75" customHeight="1">
      <c r="N730" s="30"/>
    </row>
    <row r="731" ht="12.75" customHeight="1">
      <c r="N731" s="30"/>
    </row>
    <row r="732" ht="12.75" customHeight="1">
      <c r="N732" s="30"/>
    </row>
    <row r="733" ht="12.75" customHeight="1">
      <c r="N733" s="30"/>
    </row>
    <row r="734" ht="12.75" customHeight="1">
      <c r="N734" s="30"/>
    </row>
    <row r="735" ht="12.75" customHeight="1">
      <c r="N735" s="30"/>
    </row>
    <row r="736" ht="12.75" customHeight="1">
      <c r="N736" s="30"/>
    </row>
    <row r="737" ht="12.75" customHeight="1">
      <c r="N737" s="30"/>
    </row>
    <row r="738" ht="12.75" customHeight="1">
      <c r="N738" s="30"/>
    </row>
    <row r="739" ht="12.75" customHeight="1">
      <c r="N739" s="30"/>
    </row>
    <row r="740" ht="12.75" customHeight="1">
      <c r="N740" s="30"/>
    </row>
    <row r="741" ht="12.75" customHeight="1">
      <c r="N741" s="30"/>
    </row>
    <row r="742" ht="12.75" customHeight="1">
      <c r="N742" s="30"/>
    </row>
    <row r="743" ht="12.75" customHeight="1">
      <c r="N743" s="30"/>
    </row>
    <row r="744" ht="12.75" customHeight="1">
      <c r="N744" s="30"/>
    </row>
    <row r="745" ht="12.75" customHeight="1">
      <c r="N745" s="30"/>
    </row>
    <row r="746" ht="12.75" customHeight="1">
      <c r="N746" s="30"/>
    </row>
    <row r="747" ht="12.75" customHeight="1">
      <c r="N747" s="30"/>
    </row>
    <row r="748" ht="12.75" customHeight="1">
      <c r="N748" s="30"/>
    </row>
    <row r="749" ht="12.75" customHeight="1">
      <c r="N749" s="30"/>
    </row>
    <row r="750" ht="12.75" customHeight="1">
      <c r="N750" s="30"/>
    </row>
    <row r="751" ht="12.75" customHeight="1">
      <c r="N751" s="30"/>
    </row>
    <row r="752" ht="12.75" customHeight="1">
      <c r="N752" s="30"/>
    </row>
    <row r="753" ht="12.75" customHeight="1">
      <c r="N753" s="30"/>
    </row>
    <row r="754" ht="12.75" customHeight="1">
      <c r="N754" s="30"/>
    </row>
    <row r="755" ht="12.75" customHeight="1">
      <c r="N755" s="30"/>
    </row>
    <row r="756" ht="12.75" customHeight="1">
      <c r="N756" s="30"/>
    </row>
    <row r="757" ht="12.75" customHeight="1">
      <c r="N757" s="30"/>
    </row>
    <row r="758" ht="12.75" customHeight="1">
      <c r="N758" s="30"/>
    </row>
    <row r="759" ht="12.75" customHeight="1">
      <c r="N759" s="30"/>
    </row>
    <row r="760" ht="12.75" customHeight="1">
      <c r="N760" s="30"/>
    </row>
    <row r="761" ht="12.75" customHeight="1">
      <c r="N761" s="30"/>
    </row>
    <row r="762" ht="12.75" customHeight="1">
      <c r="N762" s="30"/>
    </row>
    <row r="763" ht="12.75" customHeight="1">
      <c r="N763" s="30"/>
    </row>
    <row r="764" ht="12.75" customHeight="1">
      <c r="N764" s="30"/>
    </row>
    <row r="765" ht="12.75" customHeight="1">
      <c r="N765" s="30"/>
    </row>
    <row r="766" ht="12.75" customHeight="1">
      <c r="N766" s="30"/>
    </row>
    <row r="767" ht="12.75" customHeight="1">
      <c r="N767" s="30"/>
    </row>
    <row r="768" ht="12.75" customHeight="1">
      <c r="N768" s="30"/>
    </row>
    <row r="769" ht="12.75" customHeight="1">
      <c r="N769" s="30"/>
    </row>
    <row r="770" ht="12.75" customHeight="1">
      <c r="N770" s="30"/>
    </row>
    <row r="771" ht="12.75" customHeight="1">
      <c r="N771" s="30"/>
    </row>
    <row r="772" ht="12.75" customHeight="1">
      <c r="N772" s="30"/>
    </row>
    <row r="773" ht="12.75" customHeight="1">
      <c r="N773" s="30"/>
    </row>
    <row r="774" ht="12.75" customHeight="1">
      <c r="N774" s="30"/>
    </row>
    <row r="775" ht="12.75" customHeight="1">
      <c r="N775" s="30"/>
    </row>
    <row r="776" ht="12.75" customHeight="1">
      <c r="N776" s="30"/>
    </row>
    <row r="777" ht="12.75" customHeight="1">
      <c r="N777" s="30"/>
    </row>
    <row r="778" ht="12.75" customHeight="1">
      <c r="N778" s="30"/>
    </row>
    <row r="779" ht="12.75" customHeight="1">
      <c r="N779" s="30"/>
    </row>
    <row r="780" ht="12.75" customHeight="1">
      <c r="N780" s="30"/>
    </row>
    <row r="781" ht="12.75" customHeight="1">
      <c r="N781" s="30"/>
    </row>
    <row r="782" ht="12.75" customHeight="1">
      <c r="N782" s="30"/>
    </row>
    <row r="783" ht="12.75" customHeight="1">
      <c r="N783" s="30"/>
    </row>
    <row r="784" ht="12.75" customHeight="1">
      <c r="N784" s="30"/>
    </row>
    <row r="785" ht="12.75" customHeight="1">
      <c r="N785" s="30"/>
    </row>
    <row r="786" ht="12.75" customHeight="1">
      <c r="N786" s="30"/>
    </row>
    <row r="787" ht="12.75" customHeight="1">
      <c r="N787" s="30"/>
    </row>
    <row r="788" ht="12.75" customHeight="1">
      <c r="N788" s="30"/>
    </row>
    <row r="789" ht="12.75" customHeight="1">
      <c r="N789" s="30"/>
    </row>
    <row r="790" ht="12.75" customHeight="1">
      <c r="N790" s="30"/>
    </row>
    <row r="791" ht="12.75" customHeight="1">
      <c r="N791" s="30"/>
    </row>
    <row r="792" ht="12.75" customHeight="1">
      <c r="N792" s="30"/>
    </row>
    <row r="793" ht="12.75" customHeight="1">
      <c r="N793" s="30"/>
    </row>
    <row r="794" ht="12.75" customHeight="1">
      <c r="N794" s="30"/>
    </row>
    <row r="795" ht="12.75" customHeight="1">
      <c r="N795" s="30"/>
    </row>
    <row r="796" ht="12.75" customHeight="1">
      <c r="N796" s="30"/>
    </row>
    <row r="797" ht="12.75" customHeight="1">
      <c r="N797" s="30"/>
    </row>
    <row r="798" ht="12.75" customHeight="1">
      <c r="N798" s="30"/>
    </row>
    <row r="799" ht="12.75" customHeight="1">
      <c r="N799" s="30"/>
    </row>
    <row r="800" ht="12.75" customHeight="1">
      <c r="N800" s="30"/>
    </row>
    <row r="801" ht="12.75" customHeight="1">
      <c r="N801" s="30"/>
    </row>
    <row r="802" ht="12.75" customHeight="1">
      <c r="N802" s="30"/>
    </row>
    <row r="803" ht="12.75" customHeight="1">
      <c r="N803" s="30"/>
    </row>
    <row r="804" ht="12.75" customHeight="1">
      <c r="N804" s="30"/>
    </row>
    <row r="805" ht="12.75" customHeight="1">
      <c r="N805" s="30"/>
    </row>
    <row r="806" ht="12.75" customHeight="1">
      <c r="N806" s="30"/>
    </row>
    <row r="807" ht="12.75" customHeight="1">
      <c r="N807" s="30"/>
    </row>
    <row r="808" ht="12.75" customHeight="1">
      <c r="N808" s="30"/>
    </row>
    <row r="809" ht="12.75" customHeight="1">
      <c r="N809" s="30"/>
    </row>
    <row r="810" ht="12.75" customHeight="1">
      <c r="N810" s="30"/>
    </row>
    <row r="811" ht="12.75" customHeight="1">
      <c r="N811" s="30"/>
    </row>
    <row r="812" ht="12.75" customHeight="1">
      <c r="N812" s="30"/>
    </row>
    <row r="813" ht="12.75" customHeight="1">
      <c r="N813" s="30"/>
    </row>
    <row r="814" ht="12.75" customHeight="1">
      <c r="N814" s="30"/>
    </row>
    <row r="815" ht="12.75" customHeight="1">
      <c r="N815" s="30"/>
    </row>
    <row r="816" ht="12.75" customHeight="1">
      <c r="N816" s="30"/>
    </row>
    <row r="817" ht="12.75" customHeight="1">
      <c r="N817" s="30"/>
    </row>
    <row r="818" ht="12.75" customHeight="1">
      <c r="N818" s="30"/>
    </row>
    <row r="819" ht="12.75" customHeight="1">
      <c r="N819" s="30"/>
    </row>
    <row r="820" ht="12.75" customHeight="1">
      <c r="N820" s="30"/>
    </row>
    <row r="821" ht="12.75" customHeight="1">
      <c r="N821" s="30"/>
    </row>
    <row r="822" ht="12.75" customHeight="1">
      <c r="N822" s="30"/>
    </row>
    <row r="823" ht="12.75" customHeight="1">
      <c r="N823" s="30"/>
    </row>
    <row r="824" ht="12.75" customHeight="1">
      <c r="N824" s="30"/>
    </row>
    <row r="825" ht="12.75" customHeight="1">
      <c r="N825" s="30"/>
    </row>
    <row r="826" ht="12.75" customHeight="1">
      <c r="N826" s="30"/>
    </row>
    <row r="827" ht="12.75" customHeight="1">
      <c r="N827" s="30"/>
    </row>
    <row r="828" ht="12.75" customHeight="1">
      <c r="N828" s="30"/>
    </row>
    <row r="829" ht="12.75" customHeight="1">
      <c r="N829" s="30"/>
    </row>
    <row r="830" ht="12.75" customHeight="1">
      <c r="N830" s="30"/>
    </row>
    <row r="831" ht="12.75" customHeight="1">
      <c r="N831" s="30"/>
    </row>
    <row r="832" ht="12.75" customHeight="1">
      <c r="N832" s="30"/>
    </row>
    <row r="833" ht="12.75" customHeight="1">
      <c r="N833" s="30"/>
    </row>
    <row r="834" ht="12.75" customHeight="1">
      <c r="N834" s="30"/>
    </row>
    <row r="835" ht="12.75" customHeight="1">
      <c r="N835" s="30"/>
    </row>
    <row r="836" ht="12.75" customHeight="1">
      <c r="N836" s="30"/>
    </row>
    <row r="837" ht="12.75" customHeight="1">
      <c r="N837" s="30"/>
    </row>
    <row r="838" ht="12.75" customHeight="1">
      <c r="N838" s="30"/>
    </row>
    <row r="839" ht="12.75" customHeight="1">
      <c r="N839" s="30"/>
    </row>
    <row r="840" ht="12.75" customHeight="1">
      <c r="N840" s="30"/>
    </row>
    <row r="841" ht="12.75" customHeight="1">
      <c r="N841" s="30"/>
    </row>
    <row r="842" ht="12.75" customHeight="1">
      <c r="N842" s="30"/>
    </row>
    <row r="843" ht="12.75" customHeight="1">
      <c r="N843" s="30"/>
    </row>
    <row r="844" ht="12.75" customHeight="1">
      <c r="N844" s="30"/>
    </row>
    <row r="845" ht="12.75" customHeight="1">
      <c r="N845" s="30"/>
    </row>
    <row r="846" ht="12.75" customHeight="1">
      <c r="N846" s="30"/>
    </row>
    <row r="847" ht="12.75" customHeight="1">
      <c r="N847" s="30"/>
    </row>
    <row r="848" ht="12.75" customHeight="1">
      <c r="N848" s="30"/>
    </row>
    <row r="849" ht="12.75" customHeight="1">
      <c r="N849" s="30"/>
    </row>
    <row r="850" ht="12.75" customHeight="1">
      <c r="N850" s="30"/>
    </row>
    <row r="851" ht="12.75" customHeight="1">
      <c r="N851" s="30"/>
    </row>
    <row r="852" ht="12.75" customHeight="1">
      <c r="N852" s="30"/>
    </row>
    <row r="853" ht="12.75" customHeight="1">
      <c r="N853" s="30"/>
    </row>
    <row r="854" ht="12.75" customHeight="1">
      <c r="N854" s="30"/>
    </row>
    <row r="855" ht="12.75" customHeight="1">
      <c r="N855" s="30"/>
    </row>
    <row r="856" ht="12.75" customHeight="1">
      <c r="N856" s="30"/>
    </row>
    <row r="857" ht="12.75" customHeight="1">
      <c r="N857" s="30"/>
    </row>
    <row r="858" ht="12.75" customHeight="1">
      <c r="N858" s="30"/>
    </row>
    <row r="859" ht="12.75" customHeight="1">
      <c r="N859" s="30"/>
    </row>
    <row r="860" ht="12.75" customHeight="1">
      <c r="N860" s="30"/>
    </row>
    <row r="861" ht="12.75" customHeight="1">
      <c r="N861" s="30"/>
    </row>
    <row r="862" ht="12.75" customHeight="1">
      <c r="N862" s="30"/>
    </row>
    <row r="863" ht="12.75" customHeight="1">
      <c r="N863" s="30"/>
    </row>
    <row r="864" ht="12.75" customHeight="1">
      <c r="N864" s="30"/>
    </row>
    <row r="865" ht="12.75" customHeight="1">
      <c r="N865" s="30"/>
    </row>
    <row r="866" ht="12.75" customHeight="1">
      <c r="N866" s="30"/>
    </row>
    <row r="867" ht="12.75" customHeight="1">
      <c r="N867" s="30"/>
    </row>
    <row r="868" ht="12.75" customHeight="1">
      <c r="N868" s="30"/>
    </row>
    <row r="869" ht="12.75" customHeight="1">
      <c r="N869" s="30"/>
    </row>
    <row r="870" ht="12.75" customHeight="1">
      <c r="N870" s="30"/>
    </row>
    <row r="871" ht="12.75" customHeight="1">
      <c r="N871" s="30"/>
    </row>
    <row r="872" ht="12.75" customHeight="1">
      <c r="N872" s="30"/>
    </row>
    <row r="873" ht="12.75" customHeight="1">
      <c r="N873" s="30"/>
    </row>
    <row r="874" ht="12.75" customHeight="1">
      <c r="N874" s="30"/>
    </row>
    <row r="875" ht="12.75" customHeight="1">
      <c r="N875" s="30"/>
    </row>
    <row r="876" ht="12.75" customHeight="1">
      <c r="N876" s="30"/>
    </row>
    <row r="877" ht="12.75" customHeight="1">
      <c r="N877" s="30"/>
    </row>
    <row r="878" ht="12.75" customHeight="1">
      <c r="N878" s="30"/>
    </row>
    <row r="879" ht="12.75" customHeight="1">
      <c r="N879" s="30"/>
    </row>
    <row r="880" ht="12.75" customHeight="1">
      <c r="N880" s="30"/>
    </row>
    <row r="881" ht="12.75" customHeight="1">
      <c r="N881" s="30"/>
    </row>
    <row r="882" ht="12.75" customHeight="1">
      <c r="N882" s="30"/>
    </row>
    <row r="883" ht="12.75" customHeight="1">
      <c r="N883" s="30"/>
    </row>
    <row r="884" ht="12.75" customHeight="1">
      <c r="N884" s="30"/>
    </row>
    <row r="885" ht="12.75" customHeight="1">
      <c r="N885" s="30"/>
    </row>
    <row r="886" ht="12.75" customHeight="1">
      <c r="N886" s="30"/>
    </row>
    <row r="887" ht="12.75" customHeight="1">
      <c r="N887" s="30"/>
    </row>
    <row r="888" ht="12.75" customHeight="1">
      <c r="N888" s="30"/>
    </row>
    <row r="889" ht="12.75" customHeight="1">
      <c r="N889" s="30"/>
    </row>
    <row r="890" ht="12.75" customHeight="1">
      <c r="N890" s="30"/>
    </row>
    <row r="891" ht="12.75" customHeight="1">
      <c r="N891" s="30"/>
    </row>
    <row r="892" ht="12.75" customHeight="1">
      <c r="N892" s="30"/>
    </row>
    <row r="893" ht="12.75" customHeight="1">
      <c r="N893" s="30"/>
    </row>
    <row r="894" ht="12.75" customHeight="1">
      <c r="N894" s="30"/>
    </row>
    <row r="895" ht="12.75" customHeight="1">
      <c r="N895" s="30"/>
    </row>
    <row r="896" ht="12.75" customHeight="1">
      <c r="N896" s="30"/>
    </row>
    <row r="897" ht="12.75" customHeight="1">
      <c r="N897" s="30"/>
    </row>
    <row r="898" ht="12.75" customHeight="1">
      <c r="N898" s="30"/>
    </row>
    <row r="899" ht="12.75" customHeight="1">
      <c r="N899" s="30"/>
    </row>
    <row r="900" ht="12.75" customHeight="1">
      <c r="N900" s="30"/>
    </row>
    <row r="901" ht="12.75" customHeight="1">
      <c r="N901" s="30"/>
    </row>
    <row r="902" ht="12.75" customHeight="1">
      <c r="N902" s="30"/>
    </row>
    <row r="903" ht="12.75" customHeight="1">
      <c r="N903" s="30"/>
    </row>
    <row r="904" ht="12.75" customHeight="1">
      <c r="N904" s="30"/>
    </row>
    <row r="905" ht="12.75" customHeight="1">
      <c r="N905" s="30"/>
    </row>
    <row r="906" ht="12.75" customHeight="1">
      <c r="N906" s="30"/>
    </row>
    <row r="907" ht="12.75" customHeight="1">
      <c r="N907" s="30"/>
    </row>
    <row r="908" ht="12.75" customHeight="1">
      <c r="N908" s="30"/>
    </row>
    <row r="909" ht="12.75" customHeight="1">
      <c r="N909" s="30"/>
    </row>
    <row r="910" ht="12.75" customHeight="1">
      <c r="N910" s="30"/>
    </row>
    <row r="911" ht="12.75" customHeight="1">
      <c r="N911" s="30"/>
    </row>
    <row r="912" ht="12.75" customHeight="1">
      <c r="N912" s="30"/>
    </row>
    <row r="913" ht="12.75" customHeight="1">
      <c r="N913" s="30"/>
    </row>
    <row r="914" ht="12.75" customHeight="1">
      <c r="N914" s="30"/>
    </row>
    <row r="915" ht="12.75" customHeight="1">
      <c r="N915" s="30"/>
    </row>
    <row r="916" ht="12.75" customHeight="1">
      <c r="N916" s="30"/>
    </row>
    <row r="917" ht="12.75" customHeight="1">
      <c r="N917" s="30"/>
    </row>
    <row r="918" ht="12.75" customHeight="1">
      <c r="N918" s="30"/>
    </row>
    <row r="919" ht="12.75" customHeight="1">
      <c r="N919" s="30"/>
    </row>
    <row r="920" ht="12.75" customHeight="1">
      <c r="N920" s="30"/>
    </row>
    <row r="921" ht="12.75" customHeight="1">
      <c r="N921" s="30"/>
    </row>
    <row r="922" ht="12.75" customHeight="1">
      <c r="N922" s="30"/>
    </row>
    <row r="923" ht="12.75" customHeight="1">
      <c r="N923" s="30"/>
    </row>
    <row r="924" ht="12.75" customHeight="1">
      <c r="N924" s="30"/>
    </row>
    <row r="925" ht="12.75" customHeight="1">
      <c r="N925" s="30"/>
    </row>
    <row r="926" ht="12.75" customHeight="1">
      <c r="N926" s="30"/>
    </row>
    <row r="927" ht="12.75" customHeight="1">
      <c r="N927" s="30"/>
    </row>
    <row r="928" ht="12.75" customHeight="1">
      <c r="N928" s="30"/>
    </row>
    <row r="929" ht="12.75" customHeight="1">
      <c r="N929" s="30"/>
    </row>
    <row r="930" ht="12.75" customHeight="1">
      <c r="N930" s="30"/>
    </row>
    <row r="931" ht="12.75" customHeight="1">
      <c r="N931" s="30"/>
    </row>
    <row r="932" ht="12.75" customHeight="1">
      <c r="N932" s="30"/>
    </row>
    <row r="933" ht="12.75" customHeight="1">
      <c r="N933" s="30"/>
    </row>
    <row r="934" ht="12.75" customHeight="1">
      <c r="N934" s="30"/>
    </row>
    <row r="935" ht="12.75" customHeight="1">
      <c r="N935" s="30"/>
    </row>
    <row r="936" ht="12.75" customHeight="1">
      <c r="N936" s="30"/>
    </row>
    <row r="937" ht="12.75" customHeight="1">
      <c r="N937" s="30"/>
    </row>
    <row r="938" ht="12.75" customHeight="1">
      <c r="N938" s="30"/>
    </row>
    <row r="939" ht="12.75" customHeight="1">
      <c r="N939" s="30"/>
    </row>
    <row r="940" ht="12.75" customHeight="1">
      <c r="N940" s="30"/>
    </row>
    <row r="941" ht="12.75" customHeight="1">
      <c r="N941" s="30"/>
    </row>
    <row r="942" ht="12.75" customHeight="1">
      <c r="N942" s="30"/>
    </row>
    <row r="943" ht="12.75" customHeight="1">
      <c r="N943" s="30"/>
    </row>
    <row r="944" ht="12.75" customHeight="1">
      <c r="N944" s="30"/>
    </row>
    <row r="945" ht="12.75" customHeight="1">
      <c r="N945" s="30"/>
    </row>
    <row r="946" ht="12.75" customHeight="1">
      <c r="N946" s="30"/>
    </row>
    <row r="947" ht="12.75" customHeight="1">
      <c r="N947" s="30"/>
    </row>
    <row r="948" ht="12.75" customHeight="1">
      <c r="N948" s="30"/>
    </row>
    <row r="949" ht="12.75" customHeight="1">
      <c r="N949" s="30"/>
    </row>
    <row r="950" ht="12.75" customHeight="1">
      <c r="N950" s="30"/>
    </row>
    <row r="951" ht="12.75" customHeight="1">
      <c r="N951" s="30"/>
    </row>
    <row r="952" ht="12.75" customHeight="1">
      <c r="N952" s="30"/>
    </row>
    <row r="953" ht="12.75" customHeight="1">
      <c r="N953" s="30"/>
    </row>
    <row r="954" ht="12.75" customHeight="1">
      <c r="N954" s="30"/>
    </row>
    <row r="955" ht="12.75" customHeight="1">
      <c r="N955" s="30"/>
    </row>
    <row r="956" ht="12.75" customHeight="1">
      <c r="N956" s="30"/>
    </row>
    <row r="957" ht="12.75" customHeight="1">
      <c r="N957" s="30"/>
    </row>
    <row r="958" ht="12.75" customHeight="1">
      <c r="N958" s="30"/>
    </row>
    <row r="959" ht="12.75" customHeight="1">
      <c r="N959" s="30"/>
    </row>
    <row r="960" ht="12.75" customHeight="1">
      <c r="N960" s="30"/>
    </row>
    <row r="961" ht="12.75" customHeight="1">
      <c r="N961" s="30"/>
    </row>
    <row r="962" ht="12.75" customHeight="1">
      <c r="N962" s="30"/>
    </row>
    <row r="963" ht="12.75" customHeight="1">
      <c r="N963" s="30"/>
    </row>
    <row r="964" ht="12.75" customHeight="1">
      <c r="N964" s="30"/>
    </row>
    <row r="965" ht="12.75" customHeight="1">
      <c r="N965" s="30"/>
    </row>
    <row r="966" ht="12.75" customHeight="1">
      <c r="N966" s="30"/>
    </row>
    <row r="967" ht="12.75" customHeight="1">
      <c r="N967" s="30"/>
    </row>
    <row r="968" ht="12.75" customHeight="1">
      <c r="N968" s="30"/>
    </row>
    <row r="969" ht="12.75" customHeight="1">
      <c r="N969" s="30"/>
    </row>
    <row r="970" ht="12.75" customHeight="1">
      <c r="N970" s="30"/>
    </row>
    <row r="971" ht="12.75" customHeight="1">
      <c r="N971" s="30"/>
    </row>
    <row r="972" ht="12.75" customHeight="1">
      <c r="N972" s="30"/>
    </row>
    <row r="973" ht="12.75" customHeight="1">
      <c r="N973" s="30"/>
    </row>
    <row r="974" ht="12.75" customHeight="1">
      <c r="N974" s="30"/>
    </row>
    <row r="975" ht="12.75" customHeight="1">
      <c r="N975" s="30"/>
    </row>
    <row r="976" ht="12.75" customHeight="1">
      <c r="N976" s="30"/>
    </row>
    <row r="977" ht="12.75" customHeight="1">
      <c r="N977" s="30"/>
    </row>
    <row r="978" ht="12.75" customHeight="1">
      <c r="N978" s="30"/>
    </row>
    <row r="979" ht="12.75" customHeight="1">
      <c r="N979" s="30"/>
    </row>
    <row r="980" ht="12.75" customHeight="1">
      <c r="N980" s="30"/>
    </row>
    <row r="981" ht="12.75" customHeight="1">
      <c r="N981" s="30"/>
    </row>
    <row r="982" ht="12.75" customHeight="1">
      <c r="N982" s="30"/>
    </row>
    <row r="983" ht="12.75" customHeight="1">
      <c r="N983" s="30"/>
    </row>
    <row r="984" ht="12.75" customHeight="1">
      <c r="N984" s="30"/>
    </row>
    <row r="985" ht="12.75" customHeight="1">
      <c r="N985" s="30"/>
    </row>
    <row r="986" ht="12.75" customHeight="1">
      <c r="N986" s="30"/>
    </row>
    <row r="987" ht="12.75" customHeight="1">
      <c r="N987" s="30"/>
    </row>
    <row r="988" ht="12.75" customHeight="1">
      <c r="N988" s="30"/>
    </row>
    <row r="989" ht="12.75" customHeight="1">
      <c r="N989" s="30"/>
    </row>
    <row r="990" ht="12.75" customHeight="1">
      <c r="N990" s="30"/>
    </row>
    <row r="991" ht="12.75" customHeight="1">
      <c r="N991" s="30"/>
    </row>
    <row r="992" ht="12.75" customHeight="1">
      <c r="N992" s="30"/>
    </row>
    <row r="993" ht="12.75" customHeight="1">
      <c r="N993" s="30"/>
    </row>
    <row r="994" ht="12.75" customHeight="1">
      <c r="N994" s="30"/>
    </row>
    <row r="995" ht="12.75" customHeight="1">
      <c r="N995" s="30"/>
    </row>
    <row r="996" ht="12.75" customHeight="1">
      <c r="N996" s="30"/>
    </row>
    <row r="997" ht="12.75" customHeight="1">
      <c r="N997" s="30"/>
    </row>
    <row r="998" ht="12.75" customHeight="1">
      <c r="N998" s="30"/>
    </row>
    <row r="999" ht="12.75" customHeight="1">
      <c r="N999" s="30"/>
    </row>
    <row r="1000" ht="12.75" customHeight="1">
      <c r="N1000" s="30"/>
    </row>
  </sheetData>
  <mergeCells count="5">
    <mergeCell ref="D1:F1"/>
    <mergeCell ref="I1:J1"/>
    <mergeCell ref="M1:N1"/>
    <mergeCell ref="K3:L3"/>
    <mergeCell ref="D4:D5"/>
  </mergeCells>
  <hyperlinks>
    <hyperlink r:id="rId1" ref="G4"/>
    <hyperlink r:id="rId2" ref="G5"/>
  </hyperlinks>
  <printOptions horizontalCentered="1" verticalCentered="1"/>
  <pageMargins bottom="0.25" footer="0.0" header="0.0" left="0.75" right="0.5" top="0.25"/>
  <pageSetup paperSize="5" scale="79" orientation="landscape"/>
  <headerFooter>
    <oddFooter>&amp;LRev. 5/24 Arizona Department of Education and Auditor General&amp;RPage  1 of 4</oddFooter>
  </headerFooter>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63"/>
    <col customWidth="1" min="2" max="2" width="14.63"/>
    <col customWidth="1" min="3" max="3" width="35.0"/>
    <col customWidth="1" min="4" max="5" width="12.38"/>
    <col customWidth="1" min="6" max="6" width="3.63"/>
    <col customWidth="1" min="7" max="7" width="5.38"/>
    <col customWidth="1" min="8" max="8" width="27.38"/>
    <col customWidth="1" min="9" max="9" width="6.63"/>
    <col customWidth="1" min="10" max="10" width="6.38"/>
    <col customWidth="1" min="11" max="11" width="5.38"/>
    <col customWidth="1" min="12" max="12" width="7.0"/>
    <col customWidth="1" min="13" max="14" width="12.38"/>
    <col customWidth="1" min="15" max="15" width="3.63"/>
    <col customWidth="1" min="16" max="16" width="7.63"/>
    <col customWidth="1" min="17" max="26" width="9.38"/>
  </cols>
  <sheetData>
    <row r="1" ht="13.5" customHeight="1">
      <c r="A1" s="24" t="s">
        <v>0</v>
      </c>
      <c r="C1" s="64" t="str">
        <f>CharterName</f>
        <v>Western School of Science and Technology</v>
      </c>
      <c r="D1" s="3"/>
      <c r="E1" s="3"/>
      <c r="F1" s="3"/>
      <c r="H1" s="17" t="s">
        <v>2</v>
      </c>
      <c r="I1" s="5" t="str">
        <f>Cover!M1</f>
        <v>Maricopa</v>
      </c>
      <c r="J1" s="3"/>
      <c r="K1" s="3"/>
      <c r="M1" s="17" t="s">
        <v>4</v>
      </c>
      <c r="N1" s="5" t="str">
        <f>CTD</f>
        <v>078221000</v>
      </c>
    </row>
    <row r="2" ht="7.5" customHeight="1">
      <c r="A2" s="4"/>
      <c r="B2" s="10"/>
      <c r="C2" s="10"/>
      <c r="D2" s="10"/>
      <c r="E2" s="10"/>
      <c r="H2" s="133"/>
      <c r="I2" s="134"/>
      <c r="J2" s="134"/>
      <c r="K2" s="134"/>
      <c r="L2" s="134"/>
      <c r="M2" s="134"/>
      <c r="N2" s="134"/>
    </row>
    <row r="3" ht="12.0" customHeight="1">
      <c r="A3" s="135" t="s">
        <v>203</v>
      </c>
      <c r="B3" s="22"/>
      <c r="C3" s="23"/>
      <c r="D3" s="136"/>
      <c r="E3" s="136"/>
      <c r="H3" s="137" t="s">
        <v>204</v>
      </c>
      <c r="I3" s="22"/>
      <c r="J3" s="22"/>
      <c r="K3" s="22"/>
      <c r="L3" s="22"/>
      <c r="M3" s="22"/>
      <c r="N3" s="23"/>
      <c r="Q3" s="138"/>
      <c r="R3" s="138"/>
    </row>
    <row r="4" ht="40.5" customHeight="1">
      <c r="A4" s="50" t="s">
        <v>205</v>
      </c>
      <c r="D4" s="139" t="s">
        <v>206</v>
      </c>
      <c r="E4" s="139" t="s">
        <v>207</v>
      </c>
      <c r="H4" s="10"/>
      <c r="I4" s="10"/>
      <c r="J4" s="10"/>
      <c r="K4" s="10"/>
      <c r="M4" s="139" t="s">
        <v>208</v>
      </c>
      <c r="N4" s="139" t="s">
        <v>209</v>
      </c>
    </row>
    <row r="5" ht="12.0" customHeight="1">
      <c r="A5" s="140">
        <v>1.0</v>
      </c>
      <c r="B5" s="141" t="s">
        <v>210</v>
      </c>
      <c r="C5" s="141"/>
      <c r="D5" s="142">
        <v>267204.0</v>
      </c>
      <c r="E5" s="142">
        <v>274509.0</v>
      </c>
      <c r="F5" s="114">
        <v>1.0</v>
      </c>
      <c r="G5" s="143">
        <v>1.0</v>
      </c>
      <c r="H5" s="144" t="s">
        <v>211</v>
      </c>
      <c r="I5" s="144"/>
      <c r="J5" s="145"/>
      <c r="K5" s="141"/>
      <c r="M5" s="146">
        <v>246473.0</v>
      </c>
      <c r="N5" s="146">
        <f>+SP1000P200F1000</f>
        <v>264394</v>
      </c>
      <c r="O5" s="114">
        <v>1.0</v>
      </c>
      <c r="R5" s="124"/>
      <c r="S5" s="124"/>
    </row>
    <row r="6" ht="12.0" customHeight="1">
      <c r="A6" s="140">
        <v>2.0</v>
      </c>
      <c r="B6" s="141" t="s">
        <v>212</v>
      </c>
      <c r="C6" s="141"/>
      <c r="D6" s="142">
        <v>31571.0</v>
      </c>
      <c r="E6" s="142">
        <v>0.0</v>
      </c>
      <c r="F6" s="114">
        <v>2.0</v>
      </c>
      <c r="G6" s="143">
        <v>2.0</v>
      </c>
      <c r="H6" s="141" t="s">
        <v>213</v>
      </c>
      <c r="I6" s="141"/>
      <c r="J6" s="141"/>
      <c r="K6" s="141"/>
      <c r="M6" s="146">
        <v>0.0</v>
      </c>
      <c r="N6" s="146">
        <v>0.0</v>
      </c>
      <c r="O6" s="114">
        <v>2.0</v>
      </c>
      <c r="R6" s="124"/>
      <c r="S6" s="124"/>
    </row>
    <row r="7" ht="12.0" customHeight="1">
      <c r="A7" s="140">
        <v>3.0</v>
      </c>
      <c r="B7" s="141" t="s">
        <v>214</v>
      </c>
      <c r="C7" s="141"/>
      <c r="D7" s="142">
        <v>19755.0</v>
      </c>
      <c r="E7" s="142">
        <v>0.0</v>
      </c>
      <c r="F7" s="114">
        <v>3.0</v>
      </c>
      <c r="G7" s="143">
        <v>3.0</v>
      </c>
      <c r="H7" s="141" t="s">
        <v>215</v>
      </c>
      <c r="I7" s="141"/>
      <c r="J7" s="141"/>
      <c r="K7" s="141"/>
      <c r="M7" s="142">
        <v>0.0</v>
      </c>
      <c r="N7" s="142">
        <v>0.0</v>
      </c>
      <c r="O7" s="114">
        <v>3.0</v>
      </c>
      <c r="R7" s="124"/>
      <c r="S7" s="124"/>
    </row>
    <row r="8" ht="12.0" customHeight="1">
      <c r="A8" s="140">
        <v>4.0</v>
      </c>
      <c r="B8" s="141" t="s">
        <v>216</v>
      </c>
      <c r="C8" s="141"/>
      <c r="D8" s="142">
        <v>0.0</v>
      </c>
      <c r="E8" s="142">
        <v>0.0</v>
      </c>
      <c r="F8" s="114">
        <v>4.0</v>
      </c>
      <c r="G8" s="143">
        <v>4.0</v>
      </c>
      <c r="H8" s="141" t="s">
        <v>217</v>
      </c>
      <c r="I8" s="141"/>
      <c r="J8" s="141"/>
      <c r="K8" s="141"/>
      <c r="M8" s="142">
        <v>0.0</v>
      </c>
      <c r="N8" s="142">
        <v>0.0</v>
      </c>
      <c r="O8" s="114">
        <v>4.0</v>
      </c>
      <c r="R8" s="124"/>
      <c r="S8" s="124"/>
    </row>
    <row r="9" ht="12.0" customHeight="1">
      <c r="A9" s="140">
        <v>5.0</v>
      </c>
      <c r="B9" s="141" t="s">
        <v>218</v>
      </c>
      <c r="C9" s="141"/>
      <c r="D9" s="142">
        <v>12373.0</v>
      </c>
      <c r="E9" s="142">
        <v>10878.0</v>
      </c>
      <c r="F9" s="114">
        <v>5.0</v>
      </c>
      <c r="G9" s="143">
        <v>5.0</v>
      </c>
      <c r="H9" s="141" t="s">
        <v>219</v>
      </c>
      <c r="I9" s="141"/>
      <c r="J9" s="141"/>
      <c r="K9" s="141"/>
      <c r="M9" s="142">
        <v>0.0</v>
      </c>
      <c r="N9" s="142">
        <v>0.0</v>
      </c>
      <c r="O9" s="114">
        <v>5.0</v>
      </c>
      <c r="R9" s="124"/>
      <c r="S9" s="124"/>
    </row>
    <row r="10" ht="12.0" customHeight="1">
      <c r="A10" s="140">
        <v>6.0</v>
      </c>
      <c r="B10" s="141" t="s">
        <v>220</v>
      </c>
      <c r="C10" s="141"/>
      <c r="D10" s="142">
        <v>0.0</v>
      </c>
      <c r="E10" s="142">
        <v>0.0</v>
      </c>
      <c r="F10" s="114">
        <v>6.0</v>
      </c>
      <c r="G10" s="143">
        <v>6.0</v>
      </c>
      <c r="H10" s="141" t="s">
        <v>221</v>
      </c>
      <c r="I10" s="141"/>
      <c r="J10" s="141"/>
      <c r="K10" s="141"/>
      <c r="M10" s="142">
        <v>0.0</v>
      </c>
      <c r="N10" s="142">
        <v>0.0</v>
      </c>
      <c r="O10" s="114">
        <v>6.0</v>
      </c>
      <c r="R10" s="124"/>
      <c r="S10" s="124"/>
    </row>
    <row r="11" ht="12.0" customHeight="1">
      <c r="A11" s="140">
        <v>7.0</v>
      </c>
      <c r="B11" s="141" t="s">
        <v>222</v>
      </c>
      <c r="C11" s="141"/>
      <c r="D11" s="142">
        <v>0.0</v>
      </c>
      <c r="E11" s="142">
        <v>0.0</v>
      </c>
      <c r="F11" s="114">
        <v>7.0</v>
      </c>
      <c r="G11" s="143">
        <v>7.0</v>
      </c>
      <c r="H11" s="141" t="s">
        <v>223</v>
      </c>
      <c r="I11" s="141"/>
      <c r="J11" s="141"/>
      <c r="K11" s="141"/>
      <c r="M11" s="142">
        <v>0.0</v>
      </c>
      <c r="N11" s="142">
        <v>0.0</v>
      </c>
      <c r="O11" s="114">
        <v>7.0</v>
      </c>
      <c r="R11" s="124"/>
      <c r="S11" s="124"/>
    </row>
    <row r="12" ht="12.0" customHeight="1">
      <c r="A12" s="140">
        <v>8.0</v>
      </c>
      <c r="B12" s="141" t="s">
        <v>224</v>
      </c>
      <c r="C12" s="141"/>
      <c r="D12" s="142">
        <v>83231.0</v>
      </c>
      <c r="E12" s="142">
        <v>84255.0</v>
      </c>
      <c r="F12" s="114">
        <v>8.0</v>
      </c>
      <c r="G12" s="143">
        <v>8.0</v>
      </c>
      <c r="H12" s="24" t="s">
        <v>225</v>
      </c>
      <c r="K12" s="141"/>
      <c r="M12" s="146">
        <f t="shared" ref="M12:N12" si="1">SUM(M5:M11)</f>
        <v>246473</v>
      </c>
      <c r="N12" s="146">
        <f t="shared" si="1"/>
        <v>264394</v>
      </c>
      <c r="O12" s="114">
        <v>8.0</v>
      </c>
      <c r="P12" s="40" t="str">
        <f>IF(SUM(N5:N11)=SUM('Page 1'!L37),"","Invalid. The amount must equal the total budgeted amount reported on page 1, line 27.")</f>
        <v/>
      </c>
      <c r="R12" s="124"/>
      <c r="S12" s="124"/>
    </row>
    <row r="13" ht="12.0" customHeight="1">
      <c r="A13" s="140">
        <v>9.0</v>
      </c>
      <c r="B13" s="141" t="s">
        <v>226</v>
      </c>
      <c r="C13" s="141"/>
      <c r="D13" s="142">
        <v>0.0</v>
      </c>
      <c r="E13" s="142">
        <v>0.0</v>
      </c>
      <c r="F13" s="114">
        <v>9.0</v>
      </c>
      <c r="N13" s="124"/>
      <c r="O13" s="114"/>
      <c r="R13" s="124"/>
      <c r="S13" s="124"/>
    </row>
    <row r="14" ht="12.75" customHeight="1">
      <c r="A14" s="140">
        <v>10.0</v>
      </c>
      <c r="B14" s="141" t="s">
        <v>227</v>
      </c>
      <c r="C14" s="141"/>
      <c r="D14" s="142">
        <v>0.0</v>
      </c>
      <c r="E14" s="142">
        <v>0.0</v>
      </c>
      <c r="F14" s="114">
        <v>10.0</v>
      </c>
      <c r="G14" s="143">
        <v>9.0</v>
      </c>
      <c r="H14" s="147" t="s">
        <v>228</v>
      </c>
      <c r="I14" s="148"/>
      <c r="J14" s="148"/>
      <c r="K14" s="148"/>
      <c r="L14" s="149"/>
      <c r="M14" s="146" t="str">
        <f>ARRAY_CONSTRAIN(ARRAYFORMULA([1]!IEPtransportation), 1, 1)</f>
        <v>#ERROR!</v>
      </c>
      <c r="N14" s="146">
        <v>0.0</v>
      </c>
      <c r="O14" s="114">
        <v>9.0</v>
      </c>
      <c r="R14" s="124"/>
      <c r="S14" s="124"/>
    </row>
    <row r="15" ht="12.75" customHeight="1">
      <c r="A15" s="140">
        <v>11.0</v>
      </c>
      <c r="B15" s="141" t="s">
        <v>229</v>
      </c>
      <c r="C15" s="141"/>
      <c r="D15" s="142">
        <v>0.0</v>
      </c>
      <c r="E15" s="142">
        <v>0.0</v>
      </c>
      <c r="F15" s="114">
        <v>11.0</v>
      </c>
      <c r="H15" s="150"/>
      <c r="I15" s="151"/>
      <c r="J15" s="151"/>
      <c r="K15" s="151"/>
      <c r="L15" s="152"/>
      <c r="N15" s="124"/>
      <c r="O15" s="114"/>
      <c r="R15" s="124"/>
      <c r="S15" s="124"/>
    </row>
    <row r="16" ht="12.0" customHeight="1">
      <c r="A16" s="140">
        <v>12.0</v>
      </c>
      <c r="B16" s="141" t="s">
        <v>230</v>
      </c>
      <c r="C16" s="141"/>
      <c r="D16" s="142">
        <v>0.0</v>
      </c>
      <c r="E16" s="142">
        <v>0.0</v>
      </c>
      <c r="F16" s="114">
        <v>12.0</v>
      </c>
      <c r="G16" s="143"/>
      <c r="H16" s="141"/>
      <c r="I16" s="141"/>
      <c r="J16" s="141"/>
      <c r="K16" s="141"/>
      <c r="M16" s="153"/>
      <c r="N16" s="153"/>
      <c r="O16" s="114"/>
      <c r="R16" s="124"/>
      <c r="S16" s="124"/>
    </row>
    <row r="17" ht="12.0" customHeight="1">
      <c r="A17" s="140">
        <v>13.0</v>
      </c>
      <c r="B17" s="141" t="s">
        <v>231</v>
      </c>
      <c r="C17" s="141"/>
      <c r="D17" s="142">
        <v>0.0</v>
      </c>
      <c r="E17" s="142">
        <v>0.0</v>
      </c>
      <c r="F17" s="114">
        <v>13.0</v>
      </c>
      <c r="G17" s="143"/>
      <c r="H17" s="137" t="s">
        <v>232</v>
      </c>
      <c r="I17" s="22"/>
      <c r="J17" s="22"/>
      <c r="K17" s="22"/>
      <c r="L17" s="23"/>
      <c r="M17" s="153"/>
      <c r="N17" s="153"/>
      <c r="O17" s="114"/>
      <c r="R17" s="124"/>
      <c r="S17" s="124"/>
    </row>
    <row r="18" ht="12.0" customHeight="1">
      <c r="A18" s="140">
        <v>14.0</v>
      </c>
      <c r="B18" s="141" t="s">
        <v>233</v>
      </c>
      <c r="C18" s="141"/>
      <c r="D18" s="142">
        <v>0.0</v>
      </c>
      <c r="E18" s="142">
        <v>0.0</v>
      </c>
      <c r="F18" s="114">
        <v>14.0</v>
      </c>
      <c r="G18" s="143"/>
      <c r="H18" s="72" t="s">
        <v>234</v>
      </c>
      <c r="M18" s="154"/>
      <c r="N18" s="154"/>
      <c r="R18" s="124"/>
      <c r="S18" s="124"/>
    </row>
    <row r="19" ht="12.0" customHeight="1">
      <c r="A19" s="140">
        <v>15.0</v>
      </c>
      <c r="B19" s="141" t="s">
        <v>235</v>
      </c>
      <c r="C19" s="141"/>
      <c r="D19" s="146">
        <v>0.0</v>
      </c>
      <c r="E19" s="146">
        <v>0.0</v>
      </c>
      <c r="F19" s="114">
        <v>15.0</v>
      </c>
      <c r="G19" s="143"/>
      <c r="H19" s="141"/>
      <c r="I19" s="141"/>
      <c r="J19" s="141"/>
      <c r="K19" s="141"/>
      <c r="M19" s="155" t="s">
        <v>236</v>
      </c>
      <c r="N19" s="155" t="s">
        <v>237</v>
      </c>
      <c r="R19" s="124"/>
      <c r="S19" s="124"/>
    </row>
    <row r="20" ht="12.0" customHeight="1">
      <c r="A20" s="140">
        <v>16.0</v>
      </c>
      <c r="B20" s="141" t="s">
        <v>238</v>
      </c>
      <c r="C20" s="141"/>
      <c r="D20" s="156">
        <v>0.0</v>
      </c>
      <c r="E20" s="156">
        <v>0.0</v>
      </c>
      <c r="F20" s="114">
        <v>16.0</v>
      </c>
      <c r="G20" s="143"/>
      <c r="H20" s="141"/>
      <c r="I20" s="141"/>
      <c r="J20" s="141"/>
      <c r="K20" s="141"/>
      <c r="M20" s="157"/>
      <c r="N20" s="157"/>
      <c r="R20" s="124"/>
      <c r="S20" s="124"/>
    </row>
    <row r="21" ht="12.0" customHeight="1">
      <c r="A21" s="140">
        <v>17.0</v>
      </c>
      <c r="B21" s="87" t="s">
        <v>239</v>
      </c>
      <c r="C21" s="144"/>
      <c r="D21" s="158">
        <v>682030.0</v>
      </c>
      <c r="E21" s="158">
        <f>200000+200000+40000</f>
        <v>440000</v>
      </c>
      <c r="F21" s="114">
        <v>17.0</v>
      </c>
      <c r="G21" s="140" t="s">
        <v>9</v>
      </c>
      <c r="H21" s="72" t="s">
        <v>240</v>
      </c>
      <c r="I21" s="72"/>
      <c r="J21" s="141"/>
      <c r="K21" s="141"/>
      <c r="M21" s="146">
        <v>21000.0</v>
      </c>
      <c r="N21" s="146">
        <v>33647.0</v>
      </c>
      <c r="O21" s="140" t="s">
        <v>9</v>
      </c>
      <c r="R21" s="124"/>
      <c r="S21" s="124"/>
    </row>
    <row r="22" ht="12.0" customHeight="1">
      <c r="A22" s="140">
        <v>18.0</v>
      </c>
      <c r="B22" s="141" t="s">
        <v>241</v>
      </c>
      <c r="C22" s="141"/>
      <c r="D22" s="159">
        <f t="shared" ref="D22:E22" si="2">SUM(D5:D21)</f>
        <v>1096164</v>
      </c>
      <c r="E22" s="159">
        <f t="shared" si="2"/>
        <v>809642</v>
      </c>
      <c r="F22" s="114">
        <v>18.0</v>
      </c>
      <c r="G22" s="140" t="s">
        <v>13</v>
      </c>
      <c r="H22" s="141" t="s">
        <v>242</v>
      </c>
      <c r="I22" s="141"/>
      <c r="J22" s="160"/>
      <c r="M22" s="146">
        <v>0.0</v>
      </c>
      <c r="N22" s="146">
        <v>0.0</v>
      </c>
      <c r="O22" s="140" t="s">
        <v>13</v>
      </c>
      <c r="R22" s="124"/>
      <c r="S22" s="124"/>
    </row>
    <row r="23" ht="12.75" customHeight="1">
      <c r="A23" s="161" t="s">
        <v>243</v>
      </c>
      <c r="B23" s="141"/>
      <c r="C23" s="141"/>
      <c r="D23" s="101"/>
      <c r="E23" s="162"/>
      <c r="F23" s="114"/>
      <c r="G23" s="140" t="s">
        <v>244</v>
      </c>
      <c r="H23" s="144" t="s">
        <v>245</v>
      </c>
      <c r="I23" s="144"/>
      <c r="J23" s="145"/>
      <c r="K23" s="163"/>
      <c r="M23" s="146">
        <v>0.0</v>
      </c>
      <c r="N23" s="146">
        <v>0.0</v>
      </c>
      <c r="O23" s="140" t="s">
        <v>244</v>
      </c>
      <c r="R23" s="124"/>
      <c r="S23" s="124"/>
    </row>
    <row r="24" ht="12.0" customHeight="1">
      <c r="A24" s="140">
        <v>19.0</v>
      </c>
      <c r="B24" s="141" t="s">
        <v>246</v>
      </c>
      <c r="C24" s="141"/>
      <c r="D24" s="110">
        <v>0.0</v>
      </c>
      <c r="E24" s="110">
        <v>0.0</v>
      </c>
      <c r="F24" s="114">
        <v>19.0</v>
      </c>
      <c r="G24" s="140" t="s">
        <v>247</v>
      </c>
      <c r="H24" s="144" t="s">
        <v>248</v>
      </c>
      <c r="I24" s="144"/>
      <c r="J24" s="145"/>
      <c r="K24" s="163"/>
      <c r="M24" s="146">
        <v>0.0</v>
      </c>
      <c r="N24" s="146">
        <v>0.0</v>
      </c>
      <c r="O24" s="140" t="s">
        <v>247</v>
      </c>
      <c r="R24" s="124"/>
      <c r="S24" s="124"/>
    </row>
    <row r="25" ht="12.0" customHeight="1">
      <c r="A25" s="140">
        <v>20.0</v>
      </c>
      <c r="B25" s="141" t="s">
        <v>249</v>
      </c>
      <c r="C25" s="141"/>
      <c r="D25" s="142">
        <v>0.0</v>
      </c>
      <c r="E25" s="142">
        <v>0.0</v>
      </c>
      <c r="F25" s="114">
        <v>20.0</v>
      </c>
      <c r="G25" s="140" t="s">
        <v>250</v>
      </c>
      <c r="H25" s="72" t="s">
        <v>251</v>
      </c>
      <c r="I25" s="72"/>
      <c r="J25" s="141"/>
      <c r="K25" s="141"/>
      <c r="M25" s="159">
        <f t="shared" ref="M25:N25" si="3">SUM(M21:M24)</f>
        <v>21000</v>
      </c>
      <c r="N25" s="159">
        <f t="shared" si="3"/>
        <v>33647</v>
      </c>
      <c r="O25" s="140" t="s">
        <v>250</v>
      </c>
      <c r="R25" s="124"/>
      <c r="S25" s="124"/>
    </row>
    <row r="26" ht="12.0" customHeight="1">
      <c r="A26" s="140">
        <v>21.0</v>
      </c>
      <c r="B26" s="141" t="s">
        <v>252</v>
      </c>
      <c r="C26" s="141"/>
      <c r="D26" s="142">
        <v>0.0</v>
      </c>
      <c r="E26" s="142">
        <v>0.0</v>
      </c>
      <c r="F26" s="114">
        <v>21.0</v>
      </c>
      <c r="K26" s="160"/>
      <c r="R26" s="124"/>
      <c r="S26" s="124"/>
    </row>
    <row r="27" ht="12.0" customHeight="1">
      <c r="A27" s="140">
        <v>22.0</v>
      </c>
      <c r="B27" s="141" t="s">
        <v>253</v>
      </c>
      <c r="C27" s="141"/>
      <c r="D27" s="142">
        <v>0.0</v>
      </c>
      <c r="E27" s="142">
        <v>0.0</v>
      </c>
      <c r="F27" s="114">
        <v>22.0</v>
      </c>
      <c r="H27" s="4" t="s">
        <v>254</v>
      </c>
      <c r="L27" s="137" t="s">
        <v>255</v>
      </c>
      <c r="M27" s="22"/>
      <c r="N27" s="23"/>
      <c r="O27" s="114"/>
      <c r="R27" s="124"/>
      <c r="S27" s="124"/>
    </row>
    <row r="28" ht="12.0" customHeight="1">
      <c r="A28" s="140">
        <v>23.0</v>
      </c>
      <c r="B28" s="141" t="s">
        <v>256</v>
      </c>
      <c r="C28" s="141"/>
      <c r="D28" s="142">
        <v>0.0</v>
      </c>
      <c r="E28" s="142">
        <v>0.0</v>
      </c>
      <c r="F28" s="114">
        <v>23.0</v>
      </c>
      <c r="H28" s="4" t="s">
        <v>257</v>
      </c>
      <c r="L28" s="10" t="s">
        <v>258</v>
      </c>
    </row>
    <row r="29" ht="12.0" customHeight="1">
      <c r="A29" s="140">
        <v>24.0</v>
      </c>
      <c r="B29" s="141" t="s">
        <v>259</v>
      </c>
      <c r="C29" s="141"/>
      <c r="D29" s="142">
        <v>0.0</v>
      </c>
      <c r="E29" s="142">
        <v>0.0</v>
      </c>
      <c r="F29" s="114">
        <v>24.0</v>
      </c>
      <c r="H29" s="24" t="s">
        <v>260</v>
      </c>
      <c r="I29" s="17" t="s">
        <v>261</v>
      </c>
      <c r="J29" s="164">
        <v>17.9</v>
      </c>
      <c r="L29" s="30" t="s">
        <v>262</v>
      </c>
      <c r="N29" s="117">
        <v>12400.0</v>
      </c>
    </row>
    <row r="30" ht="12.0" customHeight="1">
      <c r="A30" s="140">
        <v>25.0</v>
      </c>
      <c r="B30" s="141" t="s">
        <v>263</v>
      </c>
      <c r="C30" s="141"/>
      <c r="D30" s="142">
        <v>0.0</v>
      </c>
      <c r="E30" s="142">
        <v>0.0</v>
      </c>
      <c r="F30" s="114">
        <v>25.0</v>
      </c>
      <c r="G30" s="16"/>
      <c r="H30" s="24" t="s">
        <v>264</v>
      </c>
      <c r="I30" s="17" t="s">
        <v>261</v>
      </c>
      <c r="J30" s="165">
        <v>17.3</v>
      </c>
      <c r="K30" s="141"/>
      <c r="L30" s="30" t="s">
        <v>265</v>
      </c>
      <c r="N30" s="117">
        <v>13000.0</v>
      </c>
      <c r="O30" s="50"/>
    </row>
    <row r="31" ht="12.0" customHeight="1">
      <c r="A31" s="140">
        <v>26.0</v>
      </c>
      <c r="B31" s="144" t="s">
        <v>266</v>
      </c>
      <c r="C31" s="144"/>
      <c r="D31" s="142">
        <v>0.0</v>
      </c>
      <c r="E31" s="142">
        <v>0.0</v>
      </c>
      <c r="F31" s="114">
        <v>26.0</v>
      </c>
      <c r="I31" s="17"/>
      <c r="J31" s="166"/>
      <c r="L31" s="30"/>
      <c r="N31" s="124"/>
      <c r="O31" s="50"/>
    </row>
    <row r="32" ht="12.0" customHeight="1">
      <c r="A32" s="140">
        <v>27.0</v>
      </c>
      <c r="B32" s="141" t="s">
        <v>267</v>
      </c>
      <c r="C32" s="141"/>
      <c r="D32" s="142">
        <v>0.0</v>
      </c>
      <c r="E32" s="142">
        <v>0.0</v>
      </c>
      <c r="F32" s="114">
        <v>27.0</v>
      </c>
      <c r="H32" s="167" t="s">
        <v>268</v>
      </c>
      <c r="I32" s="168"/>
      <c r="J32" s="169"/>
      <c r="K32" s="170"/>
      <c r="L32" s="170"/>
      <c r="M32" s="170"/>
      <c r="O32" s="50"/>
    </row>
    <row r="33" ht="12.0" customHeight="1">
      <c r="A33" s="140">
        <v>28.0</v>
      </c>
      <c r="B33" s="141" t="s">
        <v>269</v>
      </c>
      <c r="C33" s="141"/>
      <c r="D33" s="142">
        <v>0.0</v>
      </c>
      <c r="E33" s="142">
        <v>0.0</v>
      </c>
      <c r="F33" s="114">
        <v>28.0</v>
      </c>
      <c r="H33" s="167" t="s">
        <v>270</v>
      </c>
      <c r="I33" s="168"/>
      <c r="J33" s="169"/>
      <c r="K33" s="170"/>
      <c r="L33" s="170"/>
      <c r="M33" s="170"/>
    </row>
    <row r="34" ht="12.0" customHeight="1">
      <c r="A34" s="140">
        <v>29.0</v>
      </c>
      <c r="B34" s="87" t="s">
        <v>271</v>
      </c>
      <c r="C34" s="171"/>
      <c r="D34" s="142">
        <v>0.0</v>
      </c>
      <c r="E34" s="142">
        <v>0.0</v>
      </c>
      <c r="F34" s="114">
        <v>29.0</v>
      </c>
      <c r="H34" s="141" t="s">
        <v>272</v>
      </c>
      <c r="K34" s="10"/>
      <c r="M34" s="172"/>
    </row>
    <row r="35" ht="12.0" customHeight="1">
      <c r="A35" s="140">
        <v>30.0</v>
      </c>
      <c r="B35" s="86" t="s">
        <v>273</v>
      </c>
      <c r="C35" s="87"/>
      <c r="D35" s="142">
        <v>56378.0</v>
      </c>
      <c r="E35" s="142">
        <f>13797+165165</f>
        <v>178962</v>
      </c>
      <c r="F35" s="114">
        <v>30.0</v>
      </c>
      <c r="H35" s="141" t="s">
        <v>274</v>
      </c>
      <c r="M35" s="172"/>
      <c r="N35" s="117">
        <v>0.0</v>
      </c>
    </row>
    <row r="36" ht="12.0" customHeight="1">
      <c r="A36" s="140">
        <v>31.0</v>
      </c>
      <c r="B36" s="141" t="s">
        <v>275</v>
      </c>
      <c r="C36" s="141"/>
      <c r="D36" s="173">
        <f t="shared" ref="D36:E36" si="4">SUM(D24:D35)</f>
        <v>56378</v>
      </c>
      <c r="E36" s="173">
        <f t="shared" si="4"/>
        <v>178962</v>
      </c>
      <c r="F36" s="114">
        <v>31.0</v>
      </c>
      <c r="H36" s="141"/>
      <c r="K36" s="10"/>
      <c r="O36" s="140"/>
    </row>
    <row r="37" ht="12.0" customHeight="1">
      <c r="A37" s="140">
        <v>32.0</v>
      </c>
      <c r="B37" s="141" t="s">
        <v>276</v>
      </c>
      <c r="C37" s="141"/>
      <c r="D37" s="159">
        <f t="shared" ref="D37:E37" si="5">D22+D36</f>
        <v>1152542</v>
      </c>
      <c r="E37" s="159">
        <f t="shared" si="5"/>
        <v>988604</v>
      </c>
      <c r="F37" s="114">
        <v>32.0</v>
      </c>
      <c r="G37" s="71"/>
      <c r="H37" s="174" t="s">
        <v>277</v>
      </c>
      <c r="N37" s="175"/>
      <c r="O37" s="140"/>
    </row>
    <row r="38" ht="12.0" customHeight="1">
      <c r="A38" s="16"/>
      <c r="F38" s="114"/>
      <c r="G38" s="176"/>
      <c r="H38" s="141" t="s">
        <v>278</v>
      </c>
      <c r="I38" s="4"/>
      <c r="J38" s="177"/>
      <c r="K38" s="4"/>
      <c r="L38" s="177"/>
      <c r="M38" s="4"/>
      <c r="N38" s="117">
        <v>326745.0</v>
      </c>
      <c r="O38" s="140"/>
    </row>
    <row r="39" ht="24.0" customHeight="1">
      <c r="B39" s="178" t="s">
        <v>279</v>
      </c>
      <c r="C39" s="23"/>
      <c r="D39" s="139" t="s">
        <v>280</v>
      </c>
      <c r="E39" s="139" t="s">
        <v>281</v>
      </c>
      <c r="F39" s="114"/>
      <c r="G39" s="176"/>
      <c r="H39" s="141" t="s">
        <v>282</v>
      </c>
      <c r="I39" s="141"/>
      <c r="J39" s="141"/>
      <c r="K39" s="141"/>
      <c r="L39" s="141"/>
      <c r="M39" s="141"/>
      <c r="N39" s="117">
        <v>354087.0</v>
      </c>
      <c r="O39" s="140"/>
    </row>
    <row r="40" ht="12.75" customHeight="1">
      <c r="A40" s="143">
        <v>1.0</v>
      </c>
      <c r="B40" s="24" t="s">
        <v>283</v>
      </c>
      <c r="D40" s="142">
        <v>0.0</v>
      </c>
      <c r="E40" s="117">
        <v>0.0</v>
      </c>
      <c r="F40" s="114">
        <v>1.0</v>
      </c>
      <c r="G40" s="140"/>
      <c r="H40" s="160"/>
      <c r="I40" s="160"/>
      <c r="J40" s="160"/>
      <c r="K40" s="160"/>
      <c r="L40" s="160"/>
      <c r="M40" s="160"/>
      <c r="N40" s="124"/>
      <c r="O40" s="140"/>
    </row>
    <row r="41" ht="12.0" customHeight="1">
      <c r="A41" s="143">
        <v>2.0</v>
      </c>
      <c r="B41" s="141" t="s">
        <v>284</v>
      </c>
      <c r="D41" s="110">
        <v>0.0</v>
      </c>
      <c r="E41" s="117">
        <v>0.0</v>
      </c>
      <c r="F41" s="114">
        <v>2.0</v>
      </c>
      <c r="G41" s="140"/>
    </row>
    <row r="42" ht="12.0" customHeight="1">
      <c r="A42" s="143">
        <v>3.0</v>
      </c>
      <c r="B42" s="141" t="s">
        <v>285</v>
      </c>
      <c r="D42" s="110">
        <v>0.0</v>
      </c>
      <c r="E42" s="110">
        <v>0.0</v>
      </c>
      <c r="F42" s="114">
        <v>3.0</v>
      </c>
      <c r="G42" s="176"/>
    </row>
    <row r="43" ht="12.0" customHeight="1">
      <c r="A43" s="143">
        <v>4.0</v>
      </c>
      <c r="B43" s="141" t="s">
        <v>286</v>
      </c>
      <c r="D43" s="110">
        <v>11000.0</v>
      </c>
      <c r="E43" s="110">
        <v>6100.0</v>
      </c>
      <c r="F43" s="114">
        <v>4.0</v>
      </c>
      <c r="G43" s="140"/>
    </row>
    <row r="44" ht="12.0" customHeight="1">
      <c r="A44" s="143">
        <v>5.0</v>
      </c>
      <c r="B44" s="141" t="s">
        <v>287</v>
      </c>
      <c r="D44" s="110">
        <v>30000.0</v>
      </c>
      <c r="E44" s="110">
        <v>20000.0</v>
      </c>
      <c r="F44" s="114">
        <v>5.0</v>
      </c>
      <c r="G44" s="140"/>
    </row>
    <row r="45" ht="12.0" customHeight="1">
      <c r="A45" s="16">
        <v>6.0</v>
      </c>
      <c r="B45" s="141" t="s">
        <v>288</v>
      </c>
      <c r="D45" s="179">
        <v>0.0</v>
      </c>
      <c r="E45" s="179">
        <v>0.0</v>
      </c>
      <c r="F45" s="114">
        <v>6.0</v>
      </c>
      <c r="G45" s="140"/>
    </row>
    <row r="46" ht="12.0" customHeight="1">
      <c r="A46" s="180">
        <v>7.0</v>
      </c>
      <c r="B46" s="141" t="s">
        <v>289</v>
      </c>
      <c r="D46" s="159">
        <f t="shared" ref="D46:E46" si="6">SUM(D40:D45)</f>
        <v>41000</v>
      </c>
      <c r="E46" s="159">
        <f t="shared" si="6"/>
        <v>26100</v>
      </c>
      <c r="F46" s="114">
        <v>7.0</v>
      </c>
      <c r="G46" s="140"/>
    </row>
    <row r="47" ht="13.5" customHeight="1">
      <c r="G47" s="140"/>
      <c r="N47" s="153"/>
    </row>
    <row r="48" ht="13.5" customHeight="1">
      <c r="A48" s="180">
        <v>8.0</v>
      </c>
      <c r="B48" s="42" t="s">
        <v>290</v>
      </c>
      <c r="C48" s="28"/>
      <c r="D48" s="117">
        <v>0.0</v>
      </c>
      <c r="E48" s="117">
        <v>0.0</v>
      </c>
      <c r="F48" s="114">
        <v>8.0</v>
      </c>
    </row>
    <row r="49" ht="27.0" customHeight="1"/>
    <row r="50" ht="12.75" customHeight="1">
      <c r="I50" s="30"/>
    </row>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6">
    <mergeCell ref="C1:F1"/>
    <mergeCell ref="I1:K1"/>
    <mergeCell ref="A3:C3"/>
    <mergeCell ref="H3:N3"/>
    <mergeCell ref="Q3:Q4"/>
    <mergeCell ref="R3:R4"/>
    <mergeCell ref="H14:L15"/>
    <mergeCell ref="B39:C39"/>
    <mergeCell ref="B48:C48"/>
    <mergeCell ref="H17:L17"/>
    <mergeCell ref="M19:M20"/>
    <mergeCell ref="N19:N20"/>
    <mergeCell ref="H27:J27"/>
    <mergeCell ref="L27:N27"/>
    <mergeCell ref="H28:J28"/>
    <mergeCell ref="L28:N28"/>
  </mergeCells>
  <conditionalFormatting sqref="N12">
    <cfRule type="cellIs" dxfId="1" priority="1" stopIfTrue="1" operator="equal">
      <formula>"Invalid"</formula>
    </cfRule>
  </conditionalFormatting>
  <hyperlinks>
    <hyperlink display="Other State Projects" location="OtherStateProjects" ref="B35"/>
    <hyperlink display="Debt service" location="Pg2DebtService" ref="H37"/>
  </hyperlinks>
  <printOptions horizontalCentered="1" verticalCentered="1"/>
  <pageMargins bottom="0.25" footer="0.0" header="0.0" left="0.75" right="0.5" top="0.25"/>
  <pageSetup paperSize="5" scale="75" orientation="landscape"/>
  <headerFooter>
    <oddFooter>&amp;LRev. 5/24 Arizona Department of Education and Auditor General&amp;RPage 2 of 4</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63"/>
    <col customWidth="1" min="3" max="3" width="14.63"/>
    <col customWidth="1" min="4" max="4" width="52.38"/>
    <col customWidth="1" min="5" max="5" width="3.63"/>
    <col customWidth="1" min="6" max="12" width="15.38"/>
    <col customWidth="1" min="13" max="13" width="3.63"/>
    <col customWidth="1" min="14" max="14" width="13.63"/>
    <col customWidth="1" min="15" max="26" width="9.0"/>
  </cols>
  <sheetData>
    <row r="1" ht="12.75" customHeight="1">
      <c r="A1" s="24" t="s">
        <v>0</v>
      </c>
      <c r="D1" s="64" t="str">
        <f>CharterName</f>
        <v>Western School of Science and Technology</v>
      </c>
      <c r="E1" s="30"/>
      <c r="F1" s="17" t="s">
        <v>53</v>
      </c>
      <c r="G1" s="5" t="str">
        <f>Cover!M1</f>
        <v>Maricopa</v>
      </c>
      <c r="H1" s="10"/>
      <c r="I1" s="10"/>
      <c r="J1" s="10"/>
      <c r="K1" s="17" t="s">
        <v>4</v>
      </c>
      <c r="L1" s="5" t="str">
        <f>CTD</f>
        <v>078221000</v>
      </c>
      <c r="M1" s="10"/>
    </row>
    <row r="2" ht="12.75" customHeight="1">
      <c r="A2" s="10"/>
      <c r="B2" s="10"/>
      <c r="C2" s="10"/>
      <c r="D2" s="10"/>
      <c r="E2" s="10"/>
      <c r="F2" s="10"/>
      <c r="G2" s="10"/>
      <c r="H2" s="10"/>
      <c r="I2" s="10"/>
      <c r="J2" s="10"/>
      <c r="K2" s="10"/>
    </row>
    <row r="3" ht="12.75" customHeight="1">
      <c r="A3" s="10"/>
      <c r="B3" s="10"/>
      <c r="C3" s="10"/>
      <c r="D3" s="10"/>
      <c r="E3" s="10"/>
      <c r="F3" s="10"/>
      <c r="G3" s="10"/>
      <c r="H3" s="10"/>
      <c r="I3" s="10"/>
      <c r="J3" s="10"/>
      <c r="K3" s="10"/>
    </row>
    <row r="4" ht="12.75" customHeight="1">
      <c r="A4" s="181"/>
      <c r="B4" s="8"/>
      <c r="C4" s="8"/>
      <c r="D4" s="182"/>
      <c r="E4" s="183"/>
      <c r="F4" s="184"/>
      <c r="G4" s="98" t="s">
        <v>291</v>
      </c>
      <c r="H4" s="155" t="s">
        <v>155</v>
      </c>
      <c r="I4" s="184"/>
      <c r="J4" s="69" t="s">
        <v>156</v>
      </c>
      <c r="K4" s="70"/>
      <c r="L4" s="184" t="s">
        <v>162</v>
      </c>
    </row>
    <row r="5" ht="12.75" customHeight="1">
      <c r="A5" s="185" t="s">
        <v>157</v>
      </c>
      <c r="E5" s="14"/>
      <c r="F5" s="97" t="s">
        <v>163</v>
      </c>
      <c r="G5" s="103" t="s">
        <v>164</v>
      </c>
      <c r="H5" s="186" t="s">
        <v>159</v>
      </c>
      <c r="I5" s="97" t="s">
        <v>166</v>
      </c>
      <c r="J5" s="97" t="s">
        <v>292</v>
      </c>
      <c r="K5" s="97" t="s">
        <v>293</v>
      </c>
      <c r="L5" s="97" t="s">
        <v>169</v>
      </c>
    </row>
    <row r="6" ht="12.75" customHeight="1">
      <c r="A6" s="187"/>
      <c r="B6" s="11"/>
      <c r="C6" s="11"/>
      <c r="D6" s="11"/>
      <c r="E6" s="188"/>
      <c r="F6" s="105">
        <v>6100.0</v>
      </c>
      <c r="G6" s="189">
        <v>6200.0</v>
      </c>
      <c r="H6" s="186" t="s">
        <v>294</v>
      </c>
      <c r="I6" s="97">
        <v>6600.0</v>
      </c>
      <c r="J6" s="97">
        <v>2024.0</v>
      </c>
      <c r="K6" s="97">
        <v>2025.0</v>
      </c>
      <c r="L6" s="97" t="s">
        <v>171</v>
      </c>
    </row>
    <row r="7" ht="12.75" customHeight="1">
      <c r="A7" s="190" t="s">
        <v>295</v>
      </c>
      <c r="B7" s="191"/>
      <c r="C7" s="191"/>
      <c r="D7" s="191"/>
      <c r="F7" s="106"/>
      <c r="G7" s="107"/>
      <c r="H7" s="106"/>
      <c r="I7" s="106"/>
      <c r="J7" s="192"/>
      <c r="K7" s="107"/>
      <c r="L7" s="109"/>
      <c r="M7" s="83"/>
      <c r="N7" s="193"/>
    </row>
    <row r="8" ht="12.75" customHeight="1">
      <c r="A8" s="58"/>
      <c r="C8" s="24" t="s">
        <v>173</v>
      </c>
      <c r="D8" s="96"/>
      <c r="E8" s="16">
        <v>1.0</v>
      </c>
      <c r="F8" s="110">
        <f>285920+195600</f>
        <v>481520</v>
      </c>
      <c r="G8" s="111">
        <f>29854+6982+14445</f>
        <v>51281</v>
      </c>
      <c r="H8" s="110">
        <v>0.0</v>
      </c>
      <c r="I8" s="110">
        <v>0.0</v>
      </c>
      <c r="J8" s="119">
        <v>527269.0</v>
      </c>
      <c r="K8" s="111">
        <f t="shared" ref="K8:K13" si="1">SUM(F8:I8)</f>
        <v>532801</v>
      </c>
      <c r="L8" s="115">
        <f t="shared" ref="L8:L13" si="2">IF(J8=0," ",(K8-J8)/J8)</f>
        <v>0.0104917983</v>
      </c>
      <c r="M8" s="114">
        <v>1.0</v>
      </c>
      <c r="N8" s="193"/>
    </row>
    <row r="9" ht="12.75" customHeight="1">
      <c r="A9" s="58"/>
      <c r="C9" s="24" t="s">
        <v>296</v>
      </c>
      <c r="E9" s="16">
        <v>2.0</v>
      </c>
      <c r="F9" s="110">
        <v>0.0</v>
      </c>
      <c r="G9" s="110">
        <v>0.0</v>
      </c>
      <c r="H9" s="110">
        <v>0.0</v>
      </c>
      <c r="I9" s="110">
        <v>0.0</v>
      </c>
      <c r="J9" s="110">
        <v>0.0</v>
      </c>
      <c r="K9" s="111">
        <f t="shared" si="1"/>
        <v>0</v>
      </c>
      <c r="L9" s="115" t="str">
        <f t="shared" si="2"/>
        <v> </v>
      </c>
      <c r="M9" s="114">
        <v>2.0</v>
      </c>
      <c r="N9" s="193"/>
    </row>
    <row r="10" ht="12.75" customHeight="1">
      <c r="A10" s="58"/>
      <c r="C10" s="24" t="s">
        <v>297</v>
      </c>
      <c r="E10" s="16">
        <v>3.0</v>
      </c>
      <c r="F10" s="110">
        <v>0.0</v>
      </c>
      <c r="G10" s="110">
        <v>0.0</v>
      </c>
      <c r="H10" s="110">
        <v>0.0</v>
      </c>
      <c r="I10" s="110">
        <v>0.0</v>
      </c>
      <c r="J10" s="110">
        <v>0.0</v>
      </c>
      <c r="K10" s="111">
        <f t="shared" si="1"/>
        <v>0</v>
      </c>
      <c r="L10" s="115" t="str">
        <f t="shared" si="2"/>
        <v> </v>
      </c>
      <c r="M10" s="114">
        <v>3.0</v>
      </c>
      <c r="N10" s="193"/>
    </row>
    <row r="11" ht="12.75" customHeight="1">
      <c r="A11" s="58"/>
      <c r="C11" s="86" t="s">
        <v>298</v>
      </c>
      <c r="D11" s="87"/>
      <c r="E11" s="16">
        <v>4.0</v>
      </c>
      <c r="F11" s="129"/>
      <c r="G11" s="129"/>
      <c r="H11" s="110">
        <v>0.0</v>
      </c>
      <c r="I11" s="129"/>
      <c r="J11" s="110">
        <v>0.0</v>
      </c>
      <c r="K11" s="111">
        <f t="shared" si="1"/>
        <v>0</v>
      </c>
      <c r="L11" s="123" t="str">
        <f t="shared" si="2"/>
        <v> </v>
      </c>
      <c r="M11" s="114">
        <v>4.0</v>
      </c>
    </row>
    <row r="12" ht="12.75" customHeight="1">
      <c r="A12" s="58"/>
      <c r="C12" s="24" t="s">
        <v>299</v>
      </c>
      <c r="E12" s="16">
        <v>5.0</v>
      </c>
      <c r="F12" s="117">
        <v>0.0</v>
      </c>
      <c r="G12" s="117">
        <v>0.0</v>
      </c>
      <c r="H12" s="110">
        <v>0.0</v>
      </c>
      <c r="I12" s="129"/>
      <c r="J12" s="110">
        <v>0.0</v>
      </c>
      <c r="K12" s="111">
        <f t="shared" si="1"/>
        <v>0</v>
      </c>
      <c r="L12" s="115" t="str">
        <f t="shared" si="2"/>
        <v> </v>
      </c>
      <c r="M12" s="114">
        <v>5.0</v>
      </c>
      <c r="N12" s="193"/>
    </row>
    <row r="13" ht="12.75" customHeight="1">
      <c r="A13" s="77" t="s">
        <v>300</v>
      </c>
      <c r="B13" s="130"/>
      <c r="C13" s="130"/>
      <c r="D13" s="130"/>
      <c r="E13" s="194">
        <v>6.0</v>
      </c>
      <c r="F13" s="195">
        <f t="shared" ref="F13:J13" si="3">SUM(F8:F12)</f>
        <v>481520</v>
      </c>
      <c r="G13" s="195">
        <f t="shared" si="3"/>
        <v>51281</v>
      </c>
      <c r="H13" s="195">
        <f t="shared" si="3"/>
        <v>0</v>
      </c>
      <c r="I13" s="195">
        <f t="shared" si="3"/>
        <v>0</v>
      </c>
      <c r="J13" s="195">
        <f t="shared" si="3"/>
        <v>527269</v>
      </c>
      <c r="K13" s="195">
        <f t="shared" si="1"/>
        <v>532801</v>
      </c>
      <c r="L13" s="115">
        <f t="shared" si="2"/>
        <v>0.0104917983</v>
      </c>
      <c r="M13" s="114">
        <v>6.0</v>
      </c>
    </row>
    <row r="14" ht="12.75" customHeight="1"/>
    <row r="15" ht="12.75" customHeight="1"/>
    <row r="16" ht="12.75" customHeight="1">
      <c r="A16" s="190" t="s">
        <v>301</v>
      </c>
      <c r="B16" s="196"/>
      <c r="C16" s="196"/>
      <c r="D16" s="196"/>
    </row>
    <row r="17" ht="12.75" customHeight="1">
      <c r="C17" s="24" t="s">
        <v>302</v>
      </c>
      <c r="D17" s="71"/>
      <c r="F17" s="117">
        <v>0.0</v>
      </c>
    </row>
    <row r="18" ht="12.75" customHeight="1">
      <c r="C18" s="24" t="s">
        <v>278</v>
      </c>
      <c r="D18" s="71"/>
      <c r="F18" s="110">
        <v>0.0</v>
      </c>
    </row>
    <row r="19" ht="12.75" customHeight="1">
      <c r="C19" s="24" t="s">
        <v>282</v>
      </c>
      <c r="D19" s="71"/>
      <c r="F19" s="110">
        <v>0.0</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D4:D5"/>
    <mergeCell ref="J4:K4"/>
  </mergeCells>
  <hyperlinks>
    <hyperlink display="2300 Support Services - General Administration" location="Page3ClassroomSiteProjectsFunc2300" ref="C11"/>
  </hyperlinks>
  <printOptions horizontalCentered="1"/>
  <pageMargins bottom="0.25" footer="0.0" header="0.0" left="0.75" right="0.5" top="0.25"/>
  <pageSetup paperSize="5" scale="68" orientation="landscape"/>
  <headerFooter>
    <oddFooter>&amp;LRev. 5/24 Arizona Department of Education and Auditor General&amp;RPage 3 of 4</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63"/>
    <col customWidth="1" min="3" max="3" width="14.63"/>
    <col customWidth="1" min="4" max="4" width="27.0"/>
    <col customWidth="1" min="5" max="5" width="3.63"/>
    <col customWidth="1" min="6" max="7" width="7.0"/>
    <col customWidth="1" min="8" max="14" width="12.63"/>
    <col customWidth="1" min="15" max="15" width="11.63"/>
    <col customWidth="1" min="16" max="16" width="3.63"/>
    <col customWidth="1" min="17" max="26" width="9.38"/>
  </cols>
  <sheetData>
    <row r="1" ht="12.75" customHeight="1">
      <c r="A1" s="24" t="s">
        <v>303</v>
      </c>
      <c r="D1" s="64" t="str">
        <f>CharterName</f>
        <v>Western School of Science and Technology</v>
      </c>
      <c r="E1" s="3"/>
      <c r="F1" s="3"/>
      <c r="G1" s="30"/>
      <c r="I1" s="17" t="s">
        <v>53</v>
      </c>
      <c r="J1" s="5" t="str">
        <f>Cover!M1</f>
        <v>Maricopa</v>
      </c>
      <c r="K1" s="3"/>
      <c r="M1" s="17" t="s">
        <v>4</v>
      </c>
      <c r="N1" s="5" t="str">
        <f>CTD</f>
        <v>078221000</v>
      </c>
      <c r="O1" s="3"/>
    </row>
    <row r="2" ht="12.75" customHeight="1">
      <c r="A2" s="10"/>
      <c r="B2" s="10"/>
      <c r="C2" s="197"/>
      <c r="D2" s="10"/>
      <c r="E2" s="10"/>
      <c r="F2" s="10"/>
      <c r="G2" s="10"/>
      <c r="H2" s="10"/>
      <c r="I2" s="10"/>
      <c r="J2" s="10"/>
    </row>
    <row r="3" ht="12.75" customHeight="1">
      <c r="A3" s="198"/>
      <c r="B3" s="199"/>
      <c r="C3" s="199"/>
      <c r="D3" s="182"/>
      <c r="E3" s="200"/>
      <c r="F3" s="98" t="s">
        <v>304</v>
      </c>
      <c r="G3" s="57"/>
      <c r="H3" s="109"/>
      <c r="I3" s="109"/>
      <c r="J3" s="184" t="s">
        <v>155</v>
      </c>
      <c r="K3" s="108"/>
      <c r="L3" s="108"/>
      <c r="M3" s="69" t="s">
        <v>156</v>
      </c>
      <c r="N3" s="70"/>
      <c r="O3" s="109"/>
    </row>
    <row r="4" ht="12.75" customHeight="1">
      <c r="A4" s="185"/>
      <c r="E4" s="14"/>
      <c r="F4" s="189" t="s">
        <v>305</v>
      </c>
      <c r="G4" s="62"/>
      <c r="H4" s="97"/>
      <c r="I4" s="97" t="s">
        <v>306</v>
      </c>
      <c r="J4" s="97" t="s">
        <v>159</v>
      </c>
      <c r="K4" s="101"/>
      <c r="L4" s="101"/>
      <c r="M4" s="101"/>
      <c r="N4" s="101"/>
      <c r="O4" s="97" t="s">
        <v>162</v>
      </c>
    </row>
    <row r="5" ht="12.75" customHeight="1">
      <c r="A5" s="185" t="s">
        <v>157</v>
      </c>
      <c r="E5" s="14"/>
      <c r="F5" s="184" t="s">
        <v>160</v>
      </c>
      <c r="G5" s="184" t="s">
        <v>161</v>
      </c>
      <c r="H5" s="97" t="s">
        <v>163</v>
      </c>
      <c r="I5" s="97" t="s">
        <v>164</v>
      </c>
      <c r="J5" s="97" t="s">
        <v>165</v>
      </c>
      <c r="K5" s="97" t="s">
        <v>166</v>
      </c>
      <c r="L5" s="97" t="s">
        <v>167</v>
      </c>
      <c r="M5" s="97" t="s">
        <v>292</v>
      </c>
      <c r="N5" s="97" t="s">
        <v>293</v>
      </c>
      <c r="O5" s="97" t="s">
        <v>169</v>
      </c>
    </row>
    <row r="6" ht="12.75" customHeight="1">
      <c r="A6" s="201"/>
      <c r="B6" s="11"/>
      <c r="C6" s="11"/>
      <c r="D6" s="11"/>
      <c r="E6" s="120"/>
      <c r="F6" s="97" t="s">
        <v>168</v>
      </c>
      <c r="G6" s="97" t="s">
        <v>168</v>
      </c>
      <c r="H6" s="105">
        <v>6100.0</v>
      </c>
      <c r="I6" s="105">
        <v>6200.0</v>
      </c>
      <c r="J6" s="105">
        <v>6500.0</v>
      </c>
      <c r="K6" s="105">
        <v>6600.0</v>
      </c>
      <c r="L6" s="105">
        <v>6800.0</v>
      </c>
      <c r="M6" s="97">
        <v>2024.0</v>
      </c>
      <c r="N6" s="97">
        <v>2025.0</v>
      </c>
      <c r="O6" s="97" t="s">
        <v>171</v>
      </c>
    </row>
    <row r="7" ht="12.75" customHeight="1">
      <c r="A7" s="202" t="s">
        <v>307</v>
      </c>
      <c r="B7" s="203"/>
      <c r="C7" s="203"/>
      <c r="D7" s="203"/>
      <c r="E7" s="204"/>
      <c r="F7" s="205"/>
      <c r="G7" s="206"/>
      <c r="H7" s="106"/>
      <c r="I7" s="106"/>
      <c r="J7" s="106"/>
      <c r="K7" s="106"/>
      <c r="L7" s="107"/>
      <c r="M7" s="109"/>
      <c r="N7" s="109"/>
      <c r="O7" s="109"/>
    </row>
    <row r="8" ht="12.75" customHeight="1">
      <c r="A8" s="58"/>
      <c r="B8" s="24" t="s">
        <v>308</v>
      </c>
      <c r="E8" s="16"/>
      <c r="F8" s="207"/>
      <c r="G8" s="208"/>
      <c r="H8" s="121"/>
      <c r="I8" s="121"/>
      <c r="J8" s="121"/>
      <c r="K8" s="121"/>
      <c r="L8" s="112"/>
      <c r="M8" s="121"/>
      <c r="N8" s="121"/>
      <c r="O8" s="113"/>
    </row>
    <row r="9" ht="12.75" customHeight="1">
      <c r="A9" s="58"/>
      <c r="C9" s="24" t="s">
        <v>173</v>
      </c>
      <c r="E9" s="16">
        <v>1.0</v>
      </c>
      <c r="F9" s="209" t="str">
        <f>[1]!SEIP1071P260F1000PPL</f>
        <v>#ERROR!</v>
      </c>
      <c r="G9" s="210">
        <v>0.25</v>
      </c>
      <c r="H9" s="110">
        <v>11087.0</v>
      </c>
      <c r="I9" s="110">
        <f>687+161+1862</f>
        <v>2710</v>
      </c>
      <c r="J9" s="110">
        <v>0.0</v>
      </c>
      <c r="K9" s="110">
        <v>0.0</v>
      </c>
      <c r="L9" s="111">
        <v>0.0</v>
      </c>
      <c r="M9" s="110">
        <v>41500.0</v>
      </c>
      <c r="N9" s="110">
        <f>SUM(H7:L9)</f>
        <v>13797</v>
      </c>
      <c r="O9" s="115">
        <f>IF(M9=0," ",(N9-M9)/M9)</f>
        <v>-0.6675421687</v>
      </c>
      <c r="P9" s="114">
        <v>1.0</v>
      </c>
    </row>
    <row r="10" ht="12.75" customHeight="1">
      <c r="A10" s="58"/>
      <c r="C10" s="24" t="s">
        <v>174</v>
      </c>
      <c r="E10" s="16"/>
      <c r="F10" s="109"/>
      <c r="G10" s="206"/>
      <c r="H10" s="106"/>
      <c r="I10" s="106"/>
      <c r="J10" s="106"/>
      <c r="K10" s="106"/>
      <c r="L10" s="107"/>
      <c r="M10" s="109"/>
      <c r="N10" s="109"/>
      <c r="O10" s="109"/>
      <c r="P10" s="114"/>
    </row>
    <row r="11" ht="12.75" customHeight="1">
      <c r="A11" s="58"/>
      <c r="C11" s="24" t="s">
        <v>309</v>
      </c>
      <c r="E11" s="16">
        <v>2.0</v>
      </c>
      <c r="F11" s="209" t="str">
        <f>[1]!SEIP1071P260F2100PPL</f>
        <v>#ERROR!</v>
      </c>
      <c r="G11" s="210">
        <v>0.0</v>
      </c>
      <c r="H11" s="110">
        <v>0.0</v>
      </c>
      <c r="I11" s="110">
        <v>0.0</v>
      </c>
      <c r="J11" s="110">
        <v>0.0</v>
      </c>
      <c r="K11" s="110">
        <v>0.0</v>
      </c>
      <c r="L11" s="110">
        <v>0.0</v>
      </c>
      <c r="M11" s="110" t="str">
        <f>ARRAY_CONSTRAIN(ARRAYFORMULA([1]!SEIP1071P260F2100), 1, 1)</f>
        <v>#ERROR!</v>
      </c>
      <c r="N11" s="110">
        <f>SUM(H10:L11)</f>
        <v>0</v>
      </c>
      <c r="O11" s="115" t="str">
        <f t="shared" ref="O11:O18" si="1">IF(M11=0," ",(N11-M11)/M11)</f>
        <v>#ERROR!</v>
      </c>
      <c r="P11" s="114">
        <v>2.0</v>
      </c>
    </row>
    <row r="12" ht="12.75" customHeight="1">
      <c r="A12" s="58"/>
      <c r="C12" s="24" t="s">
        <v>310</v>
      </c>
      <c r="E12" s="118">
        <v>3.0</v>
      </c>
      <c r="F12" s="209" t="str">
        <f>[1]!SEIP1071P260F2200PPL</f>
        <v>#ERROR!</v>
      </c>
      <c r="G12" s="211">
        <v>0.0</v>
      </c>
      <c r="H12" s="110">
        <v>0.0</v>
      </c>
      <c r="I12" s="110">
        <v>0.0</v>
      </c>
      <c r="J12" s="110">
        <v>0.0</v>
      </c>
      <c r="K12" s="110">
        <v>0.0</v>
      </c>
      <c r="L12" s="110">
        <v>0.0</v>
      </c>
      <c r="M12" s="212" t="str">
        <f>ARRAY_CONSTRAIN(ARRAYFORMULA([1]!SEIP1071P260F2200), 1, 1)</f>
        <v>#ERROR!</v>
      </c>
      <c r="N12" s="110">
        <f t="shared" ref="N12:N17" si="2">SUM(H12:L12)</f>
        <v>0</v>
      </c>
      <c r="O12" s="213" t="str">
        <f t="shared" si="1"/>
        <v>#ERROR!</v>
      </c>
      <c r="P12" s="116">
        <v>3.0</v>
      </c>
    </row>
    <row r="13" ht="12.75" customHeight="1">
      <c r="A13" s="58"/>
      <c r="C13" s="24" t="s">
        <v>311</v>
      </c>
      <c r="E13" s="118">
        <v>4.0</v>
      </c>
      <c r="F13" s="214" t="str">
        <f>[1]!SEIP1071P260F2300PPL</f>
        <v>#ERROR!</v>
      </c>
      <c r="G13" s="211">
        <v>0.0</v>
      </c>
      <c r="H13" s="110">
        <v>0.0</v>
      </c>
      <c r="I13" s="110">
        <v>0.0</v>
      </c>
      <c r="J13" s="110">
        <v>0.0</v>
      </c>
      <c r="K13" s="110">
        <v>0.0</v>
      </c>
      <c r="L13" s="110">
        <v>0.0</v>
      </c>
      <c r="M13" s="215" t="str">
        <f>ARRAY_CONSTRAIN(ARRAYFORMULA([1]!SEIP1071P260F2300), 1, 1)</f>
        <v>#ERROR!</v>
      </c>
      <c r="N13" s="117">
        <f t="shared" si="2"/>
        <v>0</v>
      </c>
      <c r="O13" s="216" t="str">
        <f t="shared" si="1"/>
        <v>#ERROR!</v>
      </c>
      <c r="P13" s="116">
        <v>4.0</v>
      </c>
    </row>
    <row r="14" ht="12.75" customHeight="1">
      <c r="A14" s="58"/>
      <c r="C14" s="24" t="s">
        <v>312</v>
      </c>
      <c r="E14" s="118">
        <v>5.0</v>
      </c>
      <c r="F14" s="214" t="str">
        <f>[1]!SEIP1071P260F2400PPL</f>
        <v>#ERROR!</v>
      </c>
      <c r="G14" s="211">
        <v>0.0</v>
      </c>
      <c r="H14" s="110">
        <v>0.0</v>
      </c>
      <c r="I14" s="110">
        <v>0.0</v>
      </c>
      <c r="J14" s="110">
        <v>0.0</v>
      </c>
      <c r="K14" s="110">
        <v>0.0</v>
      </c>
      <c r="L14" s="110">
        <v>0.0</v>
      </c>
      <c r="M14" s="215" t="str">
        <f>ARRAY_CONSTRAIN(ARRAYFORMULA([1]!SEIP1071P260F2400), 1, 1)</f>
        <v>#ERROR!</v>
      </c>
      <c r="N14" s="117">
        <f t="shared" si="2"/>
        <v>0</v>
      </c>
      <c r="O14" s="216" t="str">
        <f t="shared" si="1"/>
        <v>#ERROR!</v>
      </c>
      <c r="P14" s="116">
        <v>5.0</v>
      </c>
    </row>
    <row r="15" ht="12.75" customHeight="1">
      <c r="A15" s="58"/>
      <c r="C15" s="24" t="s">
        <v>313</v>
      </c>
      <c r="E15" s="118">
        <v>6.0</v>
      </c>
      <c r="F15" s="214" t="str">
        <f>[1]!SEIP1071P260F2500PPL</f>
        <v>#ERROR!</v>
      </c>
      <c r="G15" s="211">
        <v>0.0</v>
      </c>
      <c r="H15" s="110">
        <v>0.0</v>
      </c>
      <c r="I15" s="110">
        <v>0.0</v>
      </c>
      <c r="J15" s="110">
        <v>0.0</v>
      </c>
      <c r="K15" s="110">
        <v>0.0</v>
      </c>
      <c r="L15" s="110">
        <v>0.0</v>
      </c>
      <c r="M15" s="215" t="str">
        <f>ARRAY_CONSTRAIN(ARRAYFORMULA([1]!SEIP1071P260F2500), 1, 1)</f>
        <v>#ERROR!</v>
      </c>
      <c r="N15" s="117">
        <f t="shared" si="2"/>
        <v>0</v>
      </c>
      <c r="O15" s="216" t="str">
        <f t="shared" si="1"/>
        <v>#ERROR!</v>
      </c>
      <c r="P15" s="116">
        <v>6.0</v>
      </c>
    </row>
    <row r="16" ht="12.75" customHeight="1">
      <c r="A16" s="58"/>
      <c r="C16" s="24" t="s">
        <v>314</v>
      </c>
      <c r="E16" s="118">
        <v>7.0</v>
      </c>
      <c r="F16" s="214" t="str">
        <f>[1]!SEIP1071P260F2600PPL</f>
        <v>#ERROR!</v>
      </c>
      <c r="G16" s="214">
        <v>0.0</v>
      </c>
      <c r="H16" s="110">
        <v>0.0</v>
      </c>
      <c r="I16" s="110">
        <v>0.0</v>
      </c>
      <c r="J16" s="110">
        <v>0.0</v>
      </c>
      <c r="K16" s="110">
        <v>0.0</v>
      </c>
      <c r="L16" s="110">
        <v>0.0</v>
      </c>
      <c r="M16" s="215" t="str">
        <f>ARRAY_CONSTRAIN(ARRAYFORMULA([1]!SEIP1071P260F2600), 1, 1)</f>
        <v>#ERROR!</v>
      </c>
      <c r="N16" s="117">
        <f t="shared" si="2"/>
        <v>0</v>
      </c>
      <c r="O16" s="216" t="str">
        <f t="shared" si="1"/>
        <v>#ERROR!</v>
      </c>
      <c r="P16" s="116">
        <v>7.0</v>
      </c>
    </row>
    <row r="17" ht="12.75" customHeight="1">
      <c r="A17" s="58"/>
      <c r="C17" s="24" t="s">
        <v>315</v>
      </c>
      <c r="E17" s="118">
        <v>8.0</v>
      </c>
      <c r="F17" s="214" t="str">
        <f>[1]!SEIP1071P260F2900PPL</f>
        <v>#ERROR!</v>
      </c>
      <c r="G17" s="209">
        <v>0.0</v>
      </c>
      <c r="H17" s="110">
        <v>0.0</v>
      </c>
      <c r="I17" s="110">
        <v>0.0</v>
      </c>
      <c r="J17" s="110">
        <v>0.0</v>
      </c>
      <c r="K17" s="110">
        <v>0.0</v>
      </c>
      <c r="L17" s="110">
        <v>0.0</v>
      </c>
      <c r="M17" s="215" t="str">
        <f>ARRAY_CONSTRAIN(ARRAYFORMULA([1]!SEIP1071P260F2900), 1, 1)</f>
        <v>#ERROR!</v>
      </c>
      <c r="N17" s="117">
        <f t="shared" si="2"/>
        <v>0</v>
      </c>
      <c r="O17" s="216" t="str">
        <f t="shared" si="1"/>
        <v>#ERROR!</v>
      </c>
      <c r="P17" s="116">
        <v>8.0</v>
      </c>
    </row>
    <row r="18" ht="12.75" customHeight="1">
      <c r="A18" s="187"/>
      <c r="B18" s="11" t="s">
        <v>316</v>
      </c>
      <c r="C18" s="11"/>
      <c r="D18" s="11"/>
      <c r="E18" s="120">
        <v>9.0</v>
      </c>
      <c r="F18" s="207" t="str">
        <f>SUM(F8:F17)</f>
        <v>#ERROR!</v>
      </c>
      <c r="G18" s="209">
        <f t="shared" ref="G18:L18" si="3">SUM(G7:G17)</f>
        <v>0.25</v>
      </c>
      <c r="H18" s="110">
        <f t="shared" si="3"/>
        <v>11087</v>
      </c>
      <c r="I18" s="110">
        <f t="shared" si="3"/>
        <v>2710</v>
      </c>
      <c r="J18" s="110">
        <f t="shared" si="3"/>
        <v>0</v>
      </c>
      <c r="K18" s="110">
        <f t="shared" si="3"/>
        <v>0</v>
      </c>
      <c r="L18" s="110">
        <f t="shared" si="3"/>
        <v>0</v>
      </c>
      <c r="M18" s="121" t="str">
        <f t="shared" ref="M18:N18" si="4">SUM(M8:M17)</f>
        <v>#ERROR!</v>
      </c>
      <c r="N18" s="121">
        <f t="shared" si="4"/>
        <v>13797</v>
      </c>
      <c r="O18" s="217" t="str">
        <f t="shared" si="1"/>
        <v>#ERROR!</v>
      </c>
      <c r="P18" s="114">
        <v>9.0</v>
      </c>
    </row>
    <row r="19" ht="12.75" customHeight="1">
      <c r="A19" s="58"/>
      <c r="B19" s="24" t="s">
        <v>317</v>
      </c>
      <c r="E19" s="16"/>
      <c r="F19" s="109"/>
      <c r="G19" s="206"/>
      <c r="H19" s="106"/>
      <c r="I19" s="106"/>
      <c r="J19" s="106"/>
      <c r="K19" s="106"/>
      <c r="L19" s="107"/>
      <c r="M19" s="109"/>
      <c r="N19" s="108"/>
      <c r="O19" s="109"/>
      <c r="P19" s="114"/>
    </row>
    <row r="20" ht="12.75" customHeight="1">
      <c r="A20" s="58"/>
      <c r="C20" s="24" t="s">
        <v>174</v>
      </c>
      <c r="E20" s="16"/>
      <c r="F20" s="207"/>
      <c r="G20" s="208"/>
      <c r="H20" s="121"/>
      <c r="I20" s="121"/>
      <c r="J20" s="121"/>
      <c r="K20" s="121"/>
      <c r="L20" s="112"/>
      <c r="M20" s="121"/>
      <c r="N20" s="112"/>
      <c r="O20" s="113"/>
      <c r="P20" s="114"/>
    </row>
    <row r="21" ht="12.75" customHeight="1">
      <c r="A21" s="58"/>
      <c r="C21" s="24" t="s">
        <v>318</v>
      </c>
      <c r="E21" s="16">
        <v>10.0</v>
      </c>
      <c r="F21" s="209" t="str">
        <f>[1]!SEIP1071P430F2700PPL</f>
        <v>#ERROR!</v>
      </c>
      <c r="G21" s="210"/>
      <c r="H21" s="110"/>
      <c r="I21" s="110"/>
      <c r="J21" s="110"/>
      <c r="K21" s="110"/>
      <c r="L21" s="111"/>
      <c r="M21" s="110" t="str">
        <f>ARRAY_CONSTRAIN(ARRAYFORMULA([1]!SEIP1071P430F2700), 1, 1)</f>
        <v>#ERROR!</v>
      </c>
      <c r="N21" s="111">
        <f>SUM(H19:L21)</f>
        <v>0</v>
      </c>
      <c r="O21" s="115" t="str">
        <f t="shared" ref="O21:O22" si="6">IF(M21=0," ",(N21-M21)/M21)</f>
        <v>#ERROR!</v>
      </c>
      <c r="P21" s="114">
        <v>10.0</v>
      </c>
    </row>
    <row r="22" ht="12.75" customHeight="1">
      <c r="A22" s="77" t="s">
        <v>319</v>
      </c>
      <c r="B22" s="130"/>
      <c r="C22" s="130"/>
      <c r="D22" s="130"/>
      <c r="E22" s="194">
        <v>11.0</v>
      </c>
      <c r="F22" s="209" t="str">
        <f t="shared" ref="F22:L22" si="5">SUM(F18:F21)</f>
        <v>#ERROR!</v>
      </c>
      <c r="G22" s="209">
        <f t="shared" si="5"/>
        <v>0.25</v>
      </c>
      <c r="H22" s="117">
        <f t="shared" si="5"/>
        <v>11087</v>
      </c>
      <c r="I22" s="117">
        <f t="shared" si="5"/>
        <v>2710</v>
      </c>
      <c r="J22" s="117">
        <f t="shared" si="5"/>
        <v>0</v>
      </c>
      <c r="K22" s="117">
        <f t="shared" si="5"/>
        <v>0</v>
      </c>
      <c r="L22" s="117">
        <f t="shared" si="5"/>
        <v>0</v>
      </c>
      <c r="M22" s="110" t="str">
        <f>ARRAY_CONSTRAIN(ARRAYFORMULA([1]!TotalSEIP), 1, 1)</f>
        <v>#ERROR!</v>
      </c>
      <c r="N22" s="110">
        <f>SUM(N18:N21)</f>
        <v>13797</v>
      </c>
      <c r="O22" s="115" t="str">
        <f t="shared" si="6"/>
        <v>#ERROR!</v>
      </c>
      <c r="P22" s="116">
        <v>11.0</v>
      </c>
    </row>
    <row r="23" ht="12.75" customHeight="1"/>
    <row r="24" ht="12.75" customHeight="1">
      <c r="A24" s="198"/>
      <c r="B24" s="199"/>
      <c r="C24" s="199"/>
      <c r="D24" s="199"/>
      <c r="E24" s="200"/>
      <c r="F24" s="98" t="s">
        <v>304</v>
      </c>
      <c r="G24" s="57"/>
      <c r="H24" s="109"/>
      <c r="I24" s="109"/>
      <c r="J24" s="184" t="s">
        <v>155</v>
      </c>
      <c r="K24" s="108"/>
      <c r="L24" s="108"/>
      <c r="M24" s="69" t="s">
        <v>156</v>
      </c>
      <c r="N24" s="70"/>
      <c r="O24" s="109"/>
    </row>
    <row r="25" ht="12.75" customHeight="1">
      <c r="A25" s="185"/>
      <c r="E25" s="14"/>
      <c r="F25" s="189" t="s">
        <v>305</v>
      </c>
      <c r="G25" s="62"/>
      <c r="H25" s="97"/>
      <c r="I25" s="97" t="s">
        <v>306</v>
      </c>
      <c r="J25" s="97" t="s">
        <v>159</v>
      </c>
      <c r="K25" s="101"/>
      <c r="L25" s="101"/>
      <c r="M25" s="101"/>
      <c r="N25" s="101"/>
      <c r="O25" s="97" t="s">
        <v>162</v>
      </c>
    </row>
    <row r="26" ht="12.75" customHeight="1">
      <c r="A26" s="185" t="s">
        <v>157</v>
      </c>
      <c r="D26" s="24" t="s">
        <v>149</v>
      </c>
      <c r="E26" s="14"/>
      <c r="F26" s="184" t="s">
        <v>160</v>
      </c>
      <c r="G26" s="184" t="s">
        <v>161</v>
      </c>
      <c r="H26" s="97" t="s">
        <v>163</v>
      </c>
      <c r="I26" s="97" t="s">
        <v>164</v>
      </c>
      <c r="J26" s="97" t="s">
        <v>165</v>
      </c>
      <c r="K26" s="97" t="s">
        <v>166</v>
      </c>
      <c r="L26" s="97" t="s">
        <v>167</v>
      </c>
      <c r="M26" s="97" t="s">
        <v>292</v>
      </c>
      <c r="N26" s="97" t="s">
        <v>293</v>
      </c>
      <c r="O26" s="97" t="s">
        <v>169</v>
      </c>
    </row>
    <row r="27" ht="12.75" customHeight="1">
      <c r="A27" s="201"/>
      <c r="B27" s="11"/>
      <c r="C27" s="11"/>
      <c r="D27" s="11"/>
      <c r="E27" s="120"/>
      <c r="F27" s="97" t="s">
        <v>168</v>
      </c>
      <c r="G27" s="97" t="s">
        <v>168</v>
      </c>
      <c r="H27" s="105">
        <v>6100.0</v>
      </c>
      <c r="I27" s="105">
        <v>6200.0</v>
      </c>
      <c r="J27" s="105">
        <v>6500.0</v>
      </c>
      <c r="K27" s="105">
        <v>6600.0</v>
      </c>
      <c r="L27" s="105">
        <v>6800.0</v>
      </c>
      <c r="M27" s="97">
        <v>2024.0</v>
      </c>
      <c r="N27" s="97">
        <v>2025.0</v>
      </c>
      <c r="O27" s="97" t="s">
        <v>171</v>
      </c>
    </row>
    <row r="28" ht="12.75" customHeight="1">
      <c r="A28" s="202" t="s">
        <v>320</v>
      </c>
      <c r="B28" s="218"/>
      <c r="C28" s="218"/>
      <c r="D28" s="218"/>
      <c r="E28" s="219"/>
      <c r="F28" s="109"/>
      <c r="G28" s="206"/>
      <c r="H28" s="106"/>
      <c r="I28" s="106"/>
      <c r="J28" s="106"/>
      <c r="K28" s="106"/>
      <c r="L28" s="107"/>
      <c r="M28" s="109"/>
      <c r="N28" s="109"/>
      <c r="O28" s="109"/>
    </row>
    <row r="29" ht="12.75" customHeight="1">
      <c r="A29" s="58"/>
      <c r="B29" s="24" t="s">
        <v>321</v>
      </c>
      <c r="E29" s="16"/>
      <c r="F29" s="207"/>
      <c r="G29" s="208"/>
      <c r="H29" s="121"/>
      <c r="I29" s="121"/>
      <c r="J29" s="121"/>
      <c r="K29" s="121"/>
      <c r="L29" s="112"/>
      <c r="M29" s="121"/>
      <c r="N29" s="121"/>
      <c r="O29" s="113"/>
    </row>
    <row r="30" ht="12.75" customHeight="1">
      <c r="A30" s="58"/>
      <c r="C30" s="24" t="s">
        <v>173</v>
      </c>
      <c r="E30" s="16">
        <v>12.0</v>
      </c>
      <c r="F30" s="209" t="str">
        <f>[1]!CIP1072P265F1000PPL</f>
        <v>#ERROR!</v>
      </c>
      <c r="G30" s="210"/>
      <c r="H30" s="110"/>
      <c r="I30" s="110"/>
      <c r="J30" s="110"/>
      <c r="K30" s="110"/>
      <c r="L30" s="111"/>
      <c r="M30" s="110" t="str">
        <f>ARRAY_CONSTRAIN(ARRAYFORMULA([1]!CIP1072P265F1000), 1, 1)</f>
        <v>#ERROR!</v>
      </c>
      <c r="N30" s="110">
        <f>SUM(H28:L30)</f>
        <v>0</v>
      </c>
      <c r="O30" s="115" t="str">
        <f>IF(M30=0," ",(N30-M30)/M30)</f>
        <v>#ERROR!</v>
      </c>
      <c r="P30" s="114">
        <v>12.0</v>
      </c>
    </row>
    <row r="31" ht="12.75" customHeight="1">
      <c r="A31" s="58"/>
      <c r="C31" s="24" t="s">
        <v>174</v>
      </c>
      <c r="E31" s="16"/>
      <c r="F31" s="109"/>
      <c r="G31" s="206"/>
      <c r="H31" s="106"/>
      <c r="I31" s="106"/>
      <c r="J31" s="106"/>
      <c r="K31" s="106"/>
      <c r="L31" s="107"/>
      <c r="M31" s="109"/>
      <c r="N31" s="109"/>
      <c r="O31" s="109"/>
    </row>
    <row r="32" ht="12.75" customHeight="1">
      <c r="A32" s="58"/>
      <c r="C32" s="24" t="s">
        <v>309</v>
      </c>
      <c r="E32" s="16">
        <v>13.0</v>
      </c>
      <c r="F32" s="209" t="str">
        <f>[1]!CIP1072P265F2100PPL</f>
        <v>#ERROR!</v>
      </c>
      <c r="G32" s="210"/>
      <c r="H32" s="110"/>
      <c r="I32" s="110"/>
      <c r="J32" s="110"/>
      <c r="K32" s="110"/>
      <c r="L32" s="111"/>
      <c r="M32" s="110" t="str">
        <f>ARRAY_CONSTRAIN(ARRAYFORMULA([1]!CIP1072P265F2100), 1, 1)</f>
        <v>#ERROR!</v>
      </c>
      <c r="N32" s="110">
        <f>SUM(H31:L32)</f>
        <v>0</v>
      </c>
      <c r="O32" s="115" t="str">
        <f t="shared" ref="O32:O39" si="7">IF(M32=0," ",(N32-M32)/M32)</f>
        <v>#ERROR!</v>
      </c>
      <c r="P32" s="114">
        <v>13.0</v>
      </c>
    </row>
    <row r="33" ht="12.75" customHeight="1">
      <c r="A33" s="58"/>
      <c r="C33" s="24" t="s">
        <v>310</v>
      </c>
      <c r="E33" s="118">
        <v>14.0</v>
      </c>
      <c r="F33" s="209" t="str">
        <f>[1]!CIP1072P265F2200PPL</f>
        <v>#ERROR!</v>
      </c>
      <c r="G33" s="211"/>
      <c r="H33" s="215"/>
      <c r="I33" s="215"/>
      <c r="J33" s="215"/>
      <c r="K33" s="215"/>
      <c r="L33" s="215"/>
      <c r="M33" s="212" t="str">
        <f>ARRAY_CONSTRAIN(ARRAYFORMULA([1]!CIP1072P265F2200), 1, 1)</f>
        <v>#ERROR!</v>
      </c>
      <c r="N33" s="110">
        <f t="shared" ref="N33:N38" si="8">SUM(H33:L33)</f>
        <v>0</v>
      </c>
      <c r="O33" s="213" t="str">
        <f t="shared" si="7"/>
        <v>#ERROR!</v>
      </c>
      <c r="P33" s="116">
        <v>14.0</v>
      </c>
    </row>
    <row r="34" ht="12.75" customHeight="1">
      <c r="A34" s="58"/>
      <c r="C34" s="24" t="s">
        <v>311</v>
      </c>
      <c r="E34" s="118">
        <v>15.0</v>
      </c>
      <c r="F34" s="209" t="str">
        <f>[1]!CIP1072P265F2300PPL</f>
        <v>#ERROR!</v>
      </c>
      <c r="G34" s="220"/>
      <c r="H34" s="212"/>
      <c r="I34" s="212"/>
      <c r="J34" s="212"/>
      <c r="K34" s="212"/>
      <c r="L34" s="212"/>
      <c r="M34" s="215" t="str">
        <f>ARRAY_CONSTRAIN(ARRAYFORMULA([1]!CIP1072P265F2300), 1, 1)</f>
        <v>#ERROR!</v>
      </c>
      <c r="N34" s="117">
        <f t="shared" si="8"/>
        <v>0</v>
      </c>
      <c r="O34" s="216" t="str">
        <f t="shared" si="7"/>
        <v>#ERROR!</v>
      </c>
      <c r="P34" s="116">
        <v>15.0</v>
      </c>
    </row>
    <row r="35" ht="12.75" customHeight="1">
      <c r="A35" s="58"/>
      <c r="C35" s="24" t="s">
        <v>312</v>
      </c>
      <c r="E35" s="118">
        <v>16.0</v>
      </c>
      <c r="F35" s="209" t="str">
        <f>[1]!CIP1072P265F2400PPL</f>
        <v>#ERROR!</v>
      </c>
      <c r="G35" s="220"/>
      <c r="H35" s="212"/>
      <c r="I35" s="212"/>
      <c r="J35" s="212"/>
      <c r="K35" s="212"/>
      <c r="L35" s="212"/>
      <c r="M35" s="215" t="str">
        <f>ARRAY_CONSTRAIN(ARRAYFORMULA([1]!CIP1072P265F2400), 1, 1)</f>
        <v>#ERROR!</v>
      </c>
      <c r="N35" s="117">
        <f t="shared" si="8"/>
        <v>0</v>
      </c>
      <c r="O35" s="216" t="str">
        <f t="shared" si="7"/>
        <v>#ERROR!</v>
      </c>
      <c r="P35" s="116">
        <v>16.0</v>
      </c>
    </row>
    <row r="36" ht="12.75" customHeight="1">
      <c r="A36" s="58"/>
      <c r="C36" s="24" t="s">
        <v>313</v>
      </c>
      <c r="E36" s="118">
        <v>17.0</v>
      </c>
      <c r="F36" s="209" t="str">
        <f>[1]!CIP1072P265F2500PPL</f>
        <v>#ERROR!</v>
      </c>
      <c r="G36" s="220"/>
      <c r="H36" s="212"/>
      <c r="I36" s="212"/>
      <c r="J36" s="212"/>
      <c r="K36" s="212"/>
      <c r="L36" s="212"/>
      <c r="M36" s="215" t="str">
        <f>ARRAY_CONSTRAIN(ARRAYFORMULA([1]!CIP1072P265F2500), 1, 1)</f>
        <v>#ERROR!</v>
      </c>
      <c r="N36" s="117">
        <f t="shared" si="8"/>
        <v>0</v>
      </c>
      <c r="O36" s="216" t="str">
        <f t="shared" si="7"/>
        <v>#ERROR!</v>
      </c>
      <c r="P36" s="116">
        <v>17.0</v>
      </c>
    </row>
    <row r="37" ht="12.75" customHeight="1">
      <c r="A37" s="58"/>
      <c r="C37" s="24" t="s">
        <v>314</v>
      </c>
      <c r="E37" s="118">
        <v>18.0</v>
      </c>
      <c r="F37" s="214" t="str">
        <f>[1]!CIP1072P265F2600PPL</f>
        <v>#ERROR!</v>
      </c>
      <c r="G37" s="214"/>
      <c r="H37" s="117"/>
      <c r="I37" s="117"/>
      <c r="J37" s="117"/>
      <c r="K37" s="117"/>
      <c r="L37" s="117"/>
      <c r="M37" s="215" t="str">
        <f>ARRAY_CONSTRAIN(ARRAYFORMULA([1]!CIP1072P265F2600), 1, 1)</f>
        <v>#ERROR!</v>
      </c>
      <c r="N37" s="117">
        <f t="shared" si="8"/>
        <v>0</v>
      </c>
      <c r="O37" s="216" t="str">
        <f t="shared" si="7"/>
        <v>#ERROR!</v>
      </c>
      <c r="P37" s="116">
        <v>18.0</v>
      </c>
    </row>
    <row r="38" ht="12.75" customHeight="1">
      <c r="A38" s="58"/>
      <c r="C38" s="24" t="s">
        <v>315</v>
      </c>
      <c r="E38" s="118">
        <v>19.0</v>
      </c>
      <c r="F38" s="209" t="str">
        <f>[1]!CIP1072P265F2900PPL</f>
        <v>#ERROR!</v>
      </c>
      <c r="G38" s="209"/>
      <c r="H38" s="110"/>
      <c r="I38" s="110"/>
      <c r="J38" s="110"/>
      <c r="K38" s="110"/>
      <c r="L38" s="110"/>
      <c r="M38" s="215" t="str">
        <f>ARRAY_CONSTRAIN(ARRAYFORMULA([1]!CIP1072P265F2900), 1, 1)</f>
        <v>#ERROR!</v>
      </c>
      <c r="N38" s="117">
        <f t="shared" si="8"/>
        <v>0</v>
      </c>
      <c r="O38" s="216" t="str">
        <f t="shared" si="7"/>
        <v>#ERROR!</v>
      </c>
      <c r="P38" s="116">
        <v>19.0</v>
      </c>
    </row>
    <row r="39" ht="12.75" customHeight="1">
      <c r="A39" s="187"/>
      <c r="B39" s="11" t="s">
        <v>322</v>
      </c>
      <c r="C39" s="11"/>
      <c r="D39" s="11"/>
      <c r="E39" s="120">
        <v>20.0</v>
      </c>
      <c r="F39" s="207" t="str">
        <f>SUM(F29:F38)</f>
        <v>#ERROR!</v>
      </c>
      <c r="G39" s="209">
        <f t="shared" ref="G39:L39" si="9">SUM(G28:G38)</f>
        <v>0</v>
      </c>
      <c r="H39" s="110">
        <f t="shared" si="9"/>
        <v>0</v>
      </c>
      <c r="I39" s="110">
        <f t="shared" si="9"/>
        <v>0</v>
      </c>
      <c r="J39" s="110">
        <f t="shared" si="9"/>
        <v>0</v>
      </c>
      <c r="K39" s="110">
        <f t="shared" si="9"/>
        <v>0</v>
      </c>
      <c r="L39" s="110">
        <f t="shared" si="9"/>
        <v>0</v>
      </c>
      <c r="M39" s="121" t="str">
        <f t="shared" ref="M39:N39" si="10">SUM(M29:M38)</f>
        <v>#ERROR!</v>
      </c>
      <c r="N39" s="121">
        <f t="shared" si="10"/>
        <v>0</v>
      </c>
      <c r="O39" s="217" t="str">
        <f t="shared" si="7"/>
        <v>#ERROR!</v>
      </c>
      <c r="P39" s="114">
        <v>20.0</v>
      </c>
    </row>
    <row r="40" ht="12.75" customHeight="1">
      <c r="A40" s="58"/>
      <c r="B40" s="24" t="s">
        <v>323</v>
      </c>
      <c r="E40" s="16"/>
      <c r="F40" s="109"/>
      <c r="G40" s="206"/>
      <c r="H40" s="106"/>
      <c r="I40" s="106"/>
      <c r="J40" s="106"/>
      <c r="K40" s="106"/>
      <c r="L40" s="107"/>
      <c r="M40" s="109"/>
      <c r="N40" s="109"/>
      <c r="O40" s="109"/>
      <c r="P40" s="114"/>
    </row>
    <row r="41" ht="12.75" customHeight="1">
      <c r="A41" s="58"/>
      <c r="C41" s="24" t="s">
        <v>174</v>
      </c>
      <c r="E41" s="16"/>
      <c r="F41" s="207"/>
      <c r="G41" s="208"/>
      <c r="H41" s="121"/>
      <c r="I41" s="121"/>
      <c r="J41" s="121"/>
      <c r="K41" s="121"/>
      <c r="L41" s="112"/>
      <c r="M41" s="121"/>
      <c r="N41" s="121"/>
      <c r="O41" s="113"/>
      <c r="P41" s="114"/>
    </row>
    <row r="42" ht="12.75" customHeight="1">
      <c r="A42" s="58"/>
      <c r="C42" s="24" t="s">
        <v>318</v>
      </c>
      <c r="E42" s="16">
        <v>21.0</v>
      </c>
      <c r="F42" s="209" t="str">
        <f>[1]!CIP1072P435F2700PPL</f>
        <v>#ERROR!</v>
      </c>
      <c r="G42" s="210"/>
      <c r="H42" s="110"/>
      <c r="I42" s="110"/>
      <c r="J42" s="110"/>
      <c r="K42" s="110"/>
      <c r="L42" s="111"/>
      <c r="M42" s="110" t="str">
        <f>ARRAY_CONSTRAIN(ARRAYFORMULA([1]!CIP1072P435F2700), 1, 1)</f>
        <v>#ERROR!</v>
      </c>
      <c r="N42" s="110">
        <f>SUM(H40:L42)</f>
        <v>0</v>
      </c>
      <c r="O42" s="115" t="str">
        <f t="shared" ref="O42:O43" si="12">IF(M42=0," ",(N42-M42)/M42)</f>
        <v>#ERROR!</v>
      </c>
      <c r="P42" s="114">
        <v>21.0</v>
      </c>
    </row>
    <row r="43" ht="12.75" customHeight="1">
      <c r="A43" s="77" t="s">
        <v>324</v>
      </c>
      <c r="B43" s="130"/>
      <c r="C43" s="130"/>
      <c r="D43" s="130"/>
      <c r="E43" s="194">
        <v>22.0</v>
      </c>
      <c r="F43" s="209" t="str">
        <f t="shared" ref="F43:N43" si="11">SUM(F39:F42)</f>
        <v>#ERROR!</v>
      </c>
      <c r="G43" s="209">
        <f t="shared" si="11"/>
        <v>0</v>
      </c>
      <c r="H43" s="117">
        <f t="shared" si="11"/>
        <v>0</v>
      </c>
      <c r="I43" s="117">
        <f t="shared" si="11"/>
        <v>0</v>
      </c>
      <c r="J43" s="117">
        <f t="shared" si="11"/>
        <v>0</v>
      </c>
      <c r="K43" s="117">
        <f t="shared" si="11"/>
        <v>0</v>
      </c>
      <c r="L43" s="117">
        <f t="shared" si="11"/>
        <v>0</v>
      </c>
      <c r="M43" s="110" t="str">
        <f t="shared" si="11"/>
        <v>#ERROR!</v>
      </c>
      <c r="N43" s="110">
        <f t="shared" si="11"/>
        <v>0</v>
      </c>
      <c r="O43" s="115" t="str">
        <f t="shared" si="12"/>
        <v>#ERROR!</v>
      </c>
      <c r="P43" s="116">
        <v>22.0</v>
      </c>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F24:G24"/>
    <mergeCell ref="M24:N24"/>
    <mergeCell ref="F25:G25"/>
    <mergeCell ref="D1:F1"/>
    <mergeCell ref="J1:K1"/>
    <mergeCell ref="N1:O1"/>
    <mergeCell ref="D3:D4"/>
    <mergeCell ref="F3:G3"/>
    <mergeCell ref="M3:N3"/>
    <mergeCell ref="F4:G4"/>
  </mergeCells>
  <printOptions horizontalCentered="1" verticalCentered="1"/>
  <pageMargins bottom="0.25" footer="0.0" header="0.0" left="0.75" right="0.5" top="0.25"/>
  <pageSetup paperSize="5" scale="76" orientation="landscape"/>
  <headerFooter>
    <oddFooter>&amp;LRev. 5/24 Arizona Department of Education and Auditor General&amp;RPage 4 of 4</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63"/>
    <col customWidth="1" min="3" max="3" width="42.0"/>
    <col customWidth="1" min="4" max="5" width="12.63"/>
    <col customWidth="1" min="6" max="6" width="9.63"/>
    <col customWidth="1" min="7" max="7" width="4.63"/>
    <col customWidth="1" min="8" max="8" width="27.38"/>
    <col customWidth="1" min="9" max="9" width="5.38"/>
    <col customWidth="1" min="10" max="10" width="12.63"/>
    <col customWidth="1" min="11" max="11" width="13.63"/>
    <col customWidth="1" min="12" max="12" width="12.63"/>
    <col customWidth="1" min="13" max="13" width="9.63"/>
    <col customWidth="1" min="14" max="26" width="9.0"/>
  </cols>
  <sheetData>
    <row r="1" ht="23.25" customHeight="1">
      <c r="A1" s="4" t="str">
        <f>IF(OR(BudgetVersion="Proposed",BudgetVersion=""),"FY 2025 Summary of charter school proposed budget",IF(BudgetVersion="Adopted","FY 2025 Summary of charter school adopted budget","FY 2025 Summary of charter school revised budget"))</f>
        <v>FY 2025 Summary of charter school proposed budget</v>
      </c>
      <c r="K1" s="30" t="s">
        <v>4</v>
      </c>
      <c r="L1" s="221" t="str">
        <f>CTD</f>
        <v>078221000</v>
      </c>
      <c r="M1" s="222"/>
      <c r="N1" s="222"/>
      <c r="O1" s="222"/>
      <c r="P1" s="222"/>
      <c r="Q1" s="222"/>
      <c r="R1" s="222"/>
      <c r="S1" s="222"/>
      <c r="T1" s="222"/>
      <c r="U1" s="222"/>
      <c r="V1" s="222"/>
      <c r="W1" s="222"/>
      <c r="X1" s="222"/>
      <c r="Y1" s="222"/>
      <c r="Z1" s="222"/>
    </row>
    <row r="2" ht="3.7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row>
    <row r="3" ht="12.0" customHeight="1">
      <c r="A3" s="198" t="s">
        <v>325</v>
      </c>
      <c r="B3" s="223"/>
      <c r="C3" s="223"/>
      <c r="D3" s="224" t="s">
        <v>156</v>
      </c>
      <c r="E3" s="57"/>
      <c r="F3" s="225" t="s">
        <v>162</v>
      </c>
      <c r="G3" s="222"/>
      <c r="H3" s="226" t="str">
        <f>CONCATENATE("The budget of ",IF(Cover!$D$3=0,Cover!$D$1,(CONCATENATE(Cover!$D$1," (d.b.a. ",Cover!$D$3,")")))," for fiscal year 2025 was officially proposed by the Governing Board on ",TEXT(Cover!$F$20,"mmmm dd, yyyy"),". The complete budget may be reviewed by contacting ",Cover!$O$15," at ",Cover!$M$16," or ",Cover!$P$16,".")</f>
        <v>The budget of Western School of Science and Technology for fiscal year 2025 was officially proposed by the Governing Board on June 13, 2024. The complete budget may be reviewed by contacting Tisha Crisler at 4808202479 or tcrisler@crislerbusinessservices.com.</v>
      </c>
      <c r="I3" s="9"/>
      <c r="J3" s="9"/>
      <c r="K3" s="9"/>
      <c r="L3" s="9"/>
      <c r="M3" s="57"/>
      <c r="N3" s="222"/>
      <c r="O3" s="222"/>
      <c r="P3" s="222"/>
      <c r="Q3" s="222"/>
      <c r="R3" s="222"/>
      <c r="S3" s="222"/>
      <c r="T3" s="222"/>
      <c r="U3" s="222"/>
      <c r="V3" s="222"/>
      <c r="W3" s="222"/>
      <c r="X3" s="222"/>
      <c r="Y3" s="222"/>
      <c r="Z3" s="222"/>
    </row>
    <row r="4" ht="12.0" customHeight="1">
      <c r="A4" s="227"/>
      <c r="B4" s="222"/>
      <c r="C4" s="222"/>
      <c r="D4" s="184" t="s">
        <v>292</v>
      </c>
      <c r="E4" s="184" t="s">
        <v>293</v>
      </c>
      <c r="F4" s="228" t="s">
        <v>169</v>
      </c>
      <c r="G4" s="222"/>
      <c r="H4" s="59"/>
      <c r="M4" s="28"/>
      <c r="N4" s="222"/>
      <c r="O4" s="222"/>
      <c r="P4" s="222"/>
      <c r="Q4" s="222"/>
      <c r="R4" s="222"/>
      <c r="S4" s="222"/>
      <c r="T4" s="222"/>
      <c r="U4" s="222"/>
      <c r="V4" s="222"/>
      <c r="W4" s="222"/>
      <c r="X4" s="222"/>
      <c r="Y4" s="222"/>
      <c r="Z4" s="222"/>
    </row>
    <row r="5" ht="12.0" customHeight="1">
      <c r="A5" s="227" t="s">
        <v>172</v>
      </c>
      <c r="B5" s="222"/>
      <c r="C5" s="222"/>
      <c r="D5" s="105">
        <v>2024.0</v>
      </c>
      <c r="E5" s="105">
        <v>2025.0</v>
      </c>
      <c r="F5" s="229" t="s">
        <v>171</v>
      </c>
      <c r="G5" s="222"/>
      <c r="H5" s="59"/>
      <c r="M5" s="28"/>
      <c r="N5" s="222"/>
      <c r="O5" s="222"/>
      <c r="P5" s="222"/>
      <c r="Q5" s="222"/>
      <c r="R5" s="222"/>
      <c r="S5" s="222"/>
      <c r="T5" s="222"/>
      <c r="U5" s="222"/>
      <c r="V5" s="222"/>
      <c r="W5" s="222"/>
      <c r="X5" s="222"/>
      <c r="Y5" s="222"/>
      <c r="Z5" s="222"/>
    </row>
    <row r="6" ht="12.0" customHeight="1">
      <c r="A6" s="227"/>
      <c r="B6" s="222" t="s">
        <v>173</v>
      </c>
      <c r="C6" s="222"/>
      <c r="D6" s="230">
        <f>SP1000P100F1000CY</f>
        <v>2089982</v>
      </c>
      <c r="E6" s="230">
        <f>SP1000P100F1000</f>
        <v>2152255</v>
      </c>
      <c r="F6" s="231">
        <f>IF(D6=0," ",(E6-D6)/D6)</f>
        <v>0.0297959504</v>
      </c>
      <c r="G6" s="222"/>
      <c r="H6" s="59"/>
      <c r="M6" s="28"/>
      <c r="N6" s="222"/>
      <c r="O6" s="222"/>
      <c r="P6" s="222"/>
      <c r="Q6" s="222"/>
      <c r="R6" s="222"/>
      <c r="S6" s="222"/>
      <c r="T6" s="222"/>
      <c r="U6" s="222"/>
      <c r="V6" s="222"/>
      <c r="W6" s="222"/>
      <c r="X6" s="222"/>
      <c r="Y6" s="222"/>
      <c r="Z6" s="222"/>
    </row>
    <row r="7" ht="12.0" customHeight="1">
      <c r="A7" s="227"/>
      <c r="B7" s="222" t="s">
        <v>174</v>
      </c>
      <c r="C7" s="222"/>
      <c r="D7" s="232"/>
      <c r="E7" s="233"/>
      <c r="F7" s="232"/>
      <c r="G7" s="222"/>
      <c r="H7" s="61"/>
      <c r="I7" s="3"/>
      <c r="J7" s="3"/>
      <c r="K7" s="3"/>
      <c r="L7" s="3"/>
      <c r="M7" s="62"/>
      <c r="N7" s="222"/>
      <c r="O7" s="222"/>
      <c r="P7" s="222"/>
      <c r="Q7" s="222"/>
      <c r="R7" s="222"/>
      <c r="S7" s="222"/>
      <c r="T7" s="222"/>
      <c r="U7" s="222"/>
      <c r="V7" s="222"/>
      <c r="W7" s="222"/>
      <c r="X7" s="222"/>
      <c r="Y7" s="222"/>
      <c r="Z7" s="222"/>
    </row>
    <row r="8" ht="12.0" customHeight="1">
      <c r="A8" s="227"/>
      <c r="B8" s="222"/>
      <c r="C8" s="222" t="s">
        <v>326</v>
      </c>
      <c r="D8" s="230">
        <f>SP1000P100F2100CY</f>
        <v>534716</v>
      </c>
      <c r="E8" s="234">
        <f>SP1000P100F2100</f>
        <v>429660</v>
      </c>
      <c r="F8" s="115">
        <f t="shared" ref="F8:F21" si="1">IF(D8=0," ",(E8-D8)/D8)</f>
        <v>-0.1964706498</v>
      </c>
      <c r="G8" s="222"/>
      <c r="H8" s="235"/>
      <c r="I8" s="235"/>
      <c r="J8" s="235"/>
      <c r="K8" s="235"/>
      <c r="L8" s="222"/>
      <c r="M8" s="222"/>
      <c r="N8" s="222"/>
      <c r="O8" s="222"/>
      <c r="P8" s="222"/>
      <c r="Q8" s="222"/>
      <c r="R8" s="222"/>
      <c r="S8" s="222"/>
      <c r="T8" s="222"/>
      <c r="U8" s="222"/>
      <c r="V8" s="222"/>
      <c r="W8" s="222"/>
      <c r="X8" s="222"/>
      <c r="Y8" s="222"/>
      <c r="Z8" s="222"/>
    </row>
    <row r="9" ht="12.0" customHeight="1">
      <c r="A9" s="227"/>
      <c r="B9" s="222"/>
      <c r="C9" s="222" t="s">
        <v>327</v>
      </c>
      <c r="D9" s="236">
        <f>SP1000P100F2200CY</f>
        <v>101918</v>
      </c>
      <c r="E9" s="236">
        <f>SP1000P100F2200</f>
        <v>279110</v>
      </c>
      <c r="F9" s="113">
        <f t="shared" si="1"/>
        <v>1.738574148</v>
      </c>
      <c r="G9" s="222"/>
      <c r="H9" s="233"/>
      <c r="I9" s="223"/>
      <c r="J9" s="237"/>
      <c r="K9" s="238" t="s">
        <v>156</v>
      </c>
      <c r="L9" s="70"/>
      <c r="M9" s="225" t="s">
        <v>162</v>
      </c>
      <c r="N9" s="222"/>
      <c r="O9" s="222"/>
      <c r="P9" s="222"/>
      <c r="Q9" s="222"/>
      <c r="R9" s="222"/>
      <c r="S9" s="222"/>
      <c r="T9" s="222"/>
      <c r="U9" s="222"/>
      <c r="V9" s="222"/>
      <c r="W9" s="222"/>
      <c r="X9" s="222"/>
      <c r="Y9" s="222"/>
      <c r="Z9" s="222"/>
    </row>
    <row r="10" ht="12.0" customHeight="1">
      <c r="A10" s="227"/>
      <c r="B10" s="222"/>
      <c r="C10" s="222" t="s">
        <v>328</v>
      </c>
      <c r="D10" s="236">
        <f>SP1000P100F2300CY</f>
        <v>0</v>
      </c>
      <c r="E10" s="236">
        <f>SP1000P100F2300</f>
        <v>0</v>
      </c>
      <c r="F10" s="231" t="str">
        <f t="shared" si="1"/>
        <v> </v>
      </c>
      <c r="G10" s="222"/>
      <c r="H10" s="239" t="s">
        <v>329</v>
      </c>
      <c r="I10" s="240"/>
      <c r="J10" s="241"/>
      <c r="K10" s="184" t="s">
        <v>292</v>
      </c>
      <c r="L10" s="184" t="s">
        <v>293</v>
      </c>
      <c r="M10" s="228" t="s">
        <v>169</v>
      </c>
      <c r="N10" s="222"/>
      <c r="O10" s="222"/>
      <c r="P10" s="222"/>
      <c r="Q10" s="222"/>
      <c r="R10" s="222"/>
      <c r="S10" s="222"/>
      <c r="T10" s="222"/>
      <c r="U10" s="222"/>
      <c r="V10" s="222"/>
      <c r="W10" s="222"/>
      <c r="X10" s="222"/>
      <c r="Y10" s="222"/>
      <c r="Z10" s="222"/>
    </row>
    <row r="11" ht="12.0" customHeight="1">
      <c r="A11" s="227"/>
      <c r="B11" s="222"/>
      <c r="C11" s="222" t="s">
        <v>330</v>
      </c>
      <c r="D11" s="236">
        <f>SP1000P100F2400CY</f>
        <v>1115374</v>
      </c>
      <c r="E11" s="236">
        <f>SP1000P100F2400</f>
        <v>1260844</v>
      </c>
      <c r="F11" s="231">
        <f t="shared" si="1"/>
        <v>0.1304226206</v>
      </c>
      <c r="G11" s="222"/>
      <c r="H11" s="242"/>
      <c r="I11" s="243"/>
      <c r="J11" s="244"/>
      <c r="K11" s="105">
        <v>2024.0</v>
      </c>
      <c r="L11" s="105">
        <v>2025.0</v>
      </c>
      <c r="M11" s="229" t="s">
        <v>171</v>
      </c>
      <c r="N11" s="222"/>
      <c r="O11" s="222"/>
      <c r="P11" s="222"/>
      <c r="Q11" s="222"/>
      <c r="R11" s="222"/>
      <c r="S11" s="222"/>
      <c r="T11" s="222"/>
      <c r="U11" s="222"/>
      <c r="V11" s="222"/>
      <c r="W11" s="222"/>
      <c r="X11" s="222"/>
      <c r="Y11" s="222"/>
      <c r="Z11" s="222"/>
    </row>
    <row r="12" ht="12.0" customHeight="1">
      <c r="A12" s="227"/>
      <c r="B12" s="222"/>
      <c r="C12" s="222" t="s">
        <v>331</v>
      </c>
      <c r="D12" s="236">
        <f>SP1000P100F2500CY</f>
        <v>0</v>
      </c>
      <c r="E12" s="236">
        <f>SP1000P100F2500</f>
        <v>0</v>
      </c>
      <c r="F12" s="231" t="str">
        <f t="shared" si="1"/>
        <v> </v>
      </c>
      <c r="G12" s="222"/>
      <c r="H12" s="99" t="s">
        <v>211</v>
      </c>
      <c r="I12" s="30"/>
      <c r="J12" s="14"/>
      <c r="K12" s="230">
        <f>'Page 2'!M5</f>
        <v>246473</v>
      </c>
      <c r="L12" s="230">
        <f>'Page 2'!N5</f>
        <v>264394</v>
      </c>
      <c r="M12" s="231">
        <f t="shared" ref="M12:M19" si="2">IF(K12=0," ",(L12-K12)/K12)</f>
        <v>0.07270978971</v>
      </c>
      <c r="N12" s="222"/>
      <c r="O12" s="222"/>
      <c r="P12" s="222"/>
      <c r="Q12" s="222"/>
      <c r="R12" s="222"/>
      <c r="S12" s="222"/>
      <c r="T12" s="222"/>
      <c r="U12" s="222"/>
      <c r="V12" s="222"/>
      <c r="W12" s="222"/>
      <c r="X12" s="222"/>
      <c r="Y12" s="222"/>
      <c r="Z12" s="222"/>
    </row>
    <row r="13" ht="12.0" customHeight="1">
      <c r="A13" s="227"/>
      <c r="B13" s="222"/>
      <c r="C13" s="222" t="s">
        <v>332</v>
      </c>
      <c r="D13" s="236">
        <f>SP1000P100F2600CY</f>
        <v>333042</v>
      </c>
      <c r="E13" s="236">
        <f>SP1000P100F2600</f>
        <v>403886</v>
      </c>
      <c r="F13" s="231">
        <f t="shared" si="1"/>
        <v>0.2127179155</v>
      </c>
      <c r="G13" s="222"/>
      <c r="H13" s="99" t="s">
        <v>213</v>
      </c>
      <c r="I13" s="30"/>
      <c r="J13" s="14"/>
      <c r="K13" s="230">
        <f>P200GiftedEducationCY</f>
        <v>0</v>
      </c>
      <c r="L13" s="236">
        <f>P200GiftedEducation</f>
        <v>0</v>
      </c>
      <c r="M13" s="231" t="str">
        <f t="shared" si="2"/>
        <v> </v>
      </c>
      <c r="N13" s="222"/>
      <c r="O13" s="222"/>
      <c r="P13" s="222"/>
      <c r="Q13" s="222"/>
      <c r="R13" s="222"/>
      <c r="S13" s="222"/>
      <c r="T13" s="222"/>
      <c r="U13" s="222"/>
      <c r="V13" s="222"/>
      <c r="W13" s="222"/>
      <c r="X13" s="222"/>
      <c r="Y13" s="222"/>
      <c r="Z13" s="222"/>
    </row>
    <row r="14" ht="12.0" customHeight="1">
      <c r="A14" s="227"/>
      <c r="B14" s="222"/>
      <c r="C14" s="222" t="s">
        <v>333</v>
      </c>
      <c r="D14" s="236">
        <f>SP1000P100F2900CY</f>
        <v>0</v>
      </c>
      <c r="E14" s="236">
        <f>SP1000P100F2900</f>
        <v>0</v>
      </c>
      <c r="F14" s="231" t="str">
        <f t="shared" si="1"/>
        <v> </v>
      </c>
      <c r="G14" s="222"/>
      <c r="H14" s="99" t="s">
        <v>215</v>
      </c>
      <c r="I14" s="30"/>
      <c r="J14" s="14"/>
      <c r="K14" s="230">
        <f>P200ELLIncrementalCostsCY</f>
        <v>0</v>
      </c>
      <c r="L14" s="236">
        <f>P200ELLIncrementalCosts</f>
        <v>0</v>
      </c>
      <c r="M14" s="231" t="str">
        <f t="shared" si="2"/>
        <v> </v>
      </c>
      <c r="N14" s="222"/>
      <c r="O14" s="222"/>
      <c r="P14" s="222"/>
      <c r="Q14" s="222"/>
      <c r="R14" s="222"/>
      <c r="S14" s="222"/>
      <c r="T14" s="222"/>
      <c r="U14" s="222"/>
      <c r="V14" s="222"/>
      <c r="W14" s="222"/>
      <c r="X14" s="222"/>
      <c r="Y14" s="222"/>
      <c r="Z14" s="222"/>
    </row>
    <row r="15" ht="12.0" customHeight="1">
      <c r="A15" s="227"/>
      <c r="B15" s="222" t="s">
        <v>182</v>
      </c>
      <c r="C15" s="222"/>
      <c r="D15" s="236">
        <f>SP1000P100F3000CY</f>
        <v>0</v>
      </c>
      <c r="E15" s="236">
        <f>SP1000P100F3000</f>
        <v>0</v>
      </c>
      <c r="F15" s="231" t="str">
        <f t="shared" si="1"/>
        <v> </v>
      </c>
      <c r="G15" s="222"/>
      <c r="H15" s="99" t="s">
        <v>217</v>
      </c>
      <c r="I15" s="30"/>
      <c r="J15" s="14"/>
      <c r="K15" s="236">
        <f>P200ELLCompensatoryInstructionCY</f>
        <v>0</v>
      </c>
      <c r="L15" s="236">
        <f>P200ELLCompensatoryInstruction</f>
        <v>0</v>
      </c>
      <c r="M15" s="231" t="str">
        <f t="shared" si="2"/>
        <v> </v>
      </c>
      <c r="N15" s="222"/>
      <c r="O15" s="222"/>
      <c r="P15" s="222"/>
      <c r="Q15" s="222"/>
      <c r="R15" s="222"/>
      <c r="S15" s="222"/>
      <c r="T15" s="222"/>
      <c r="U15" s="222"/>
      <c r="V15" s="222"/>
      <c r="W15" s="222"/>
      <c r="X15" s="222"/>
      <c r="Y15" s="222"/>
      <c r="Z15" s="222"/>
    </row>
    <row r="16" ht="12.0" customHeight="1">
      <c r="A16" s="227"/>
      <c r="B16" s="222" t="s">
        <v>183</v>
      </c>
      <c r="C16" s="222"/>
      <c r="D16" s="236">
        <f>SP1000P100F4000CY</f>
        <v>0</v>
      </c>
      <c r="E16" s="236">
        <f>SP1000P100F4000</f>
        <v>0</v>
      </c>
      <c r="F16" s="231" t="str">
        <f t="shared" si="1"/>
        <v> </v>
      </c>
      <c r="G16" s="222"/>
      <c r="H16" s="99" t="s">
        <v>219</v>
      </c>
      <c r="I16" s="30"/>
      <c r="J16" s="14"/>
      <c r="K16" s="236">
        <f>P200RemedialEducationCY</f>
        <v>0</v>
      </c>
      <c r="L16" s="236">
        <f>P200RemedialEducation</f>
        <v>0</v>
      </c>
      <c r="M16" s="231" t="str">
        <f t="shared" si="2"/>
        <v> </v>
      </c>
      <c r="N16" s="222"/>
      <c r="O16" s="222"/>
      <c r="P16" s="222"/>
      <c r="Q16" s="222"/>
      <c r="R16" s="222"/>
      <c r="S16" s="222"/>
      <c r="T16" s="222"/>
      <c r="U16" s="222"/>
      <c r="V16" s="222"/>
      <c r="W16" s="222"/>
      <c r="X16" s="222"/>
      <c r="Y16" s="222"/>
      <c r="Z16" s="222"/>
    </row>
    <row r="17" ht="12.0" customHeight="1">
      <c r="A17" s="227"/>
      <c r="B17" s="222" t="s">
        <v>184</v>
      </c>
      <c r="C17" s="222"/>
      <c r="D17" s="236">
        <f>SP1000P100F5000CY</f>
        <v>680832</v>
      </c>
      <c r="E17" s="236">
        <f>SP1000P100F5000</f>
        <v>680832</v>
      </c>
      <c r="F17" s="231">
        <f t="shared" si="1"/>
        <v>0</v>
      </c>
      <c r="G17" s="222"/>
      <c r="H17" s="99" t="s">
        <v>221</v>
      </c>
      <c r="I17" s="30"/>
      <c r="J17" s="14"/>
      <c r="K17" s="236">
        <f>P200VocationalandTechnologicalEdCY</f>
        <v>0</v>
      </c>
      <c r="L17" s="236">
        <f>P200VocationalandTechnologicalEd</f>
        <v>0</v>
      </c>
      <c r="M17" s="231" t="str">
        <f t="shared" si="2"/>
        <v> </v>
      </c>
      <c r="N17" s="222"/>
      <c r="O17" s="222"/>
      <c r="P17" s="222"/>
      <c r="Q17" s="222"/>
      <c r="R17" s="222"/>
      <c r="S17" s="222"/>
      <c r="T17" s="222"/>
      <c r="U17" s="222"/>
      <c r="V17" s="222"/>
      <c r="W17" s="222"/>
      <c r="X17" s="222"/>
      <c r="Y17" s="222"/>
      <c r="Z17" s="222"/>
    </row>
    <row r="18" ht="12.0" customHeight="1">
      <c r="A18" s="227" t="s">
        <v>185</v>
      </c>
      <c r="B18" s="222"/>
      <c r="C18" s="222"/>
      <c r="D18" s="236">
        <f>SP1000P610CY</f>
        <v>0</v>
      </c>
      <c r="E18" s="236">
        <f>SP1000P610</f>
        <v>18000</v>
      </c>
      <c r="F18" s="231" t="str">
        <f t="shared" si="1"/>
        <v> </v>
      </c>
      <c r="G18" s="222"/>
      <c r="H18" s="99" t="s">
        <v>223</v>
      </c>
      <c r="I18" s="30"/>
      <c r="J18" s="14"/>
      <c r="K18" s="245">
        <f>P200CareerEducationCY</f>
        <v>0</v>
      </c>
      <c r="L18" s="245">
        <f>P200CareerEducation</f>
        <v>0</v>
      </c>
      <c r="M18" s="231" t="str">
        <f t="shared" si="2"/>
        <v> </v>
      </c>
      <c r="N18" s="222"/>
      <c r="O18" s="222"/>
      <c r="P18" s="222"/>
      <c r="Q18" s="222"/>
      <c r="R18" s="222"/>
      <c r="S18" s="222"/>
      <c r="T18" s="222"/>
      <c r="U18" s="222"/>
      <c r="V18" s="222"/>
      <c r="W18" s="222"/>
      <c r="X18" s="222"/>
      <c r="Y18" s="222"/>
      <c r="Z18" s="222"/>
    </row>
    <row r="19" ht="12.0" customHeight="1">
      <c r="A19" s="227" t="s">
        <v>186</v>
      </c>
      <c r="B19" s="222"/>
      <c r="C19" s="222"/>
      <c r="D19" s="236">
        <f>SP1000P620CY</f>
        <v>0</v>
      </c>
      <c r="E19" s="236">
        <f>SP1000P620</f>
        <v>2500</v>
      </c>
      <c r="F19" s="231" t="str">
        <f t="shared" si="1"/>
        <v> </v>
      </c>
      <c r="G19" s="222"/>
      <c r="H19" s="246" t="s">
        <v>334</v>
      </c>
      <c r="I19" s="3"/>
      <c r="J19" s="3"/>
      <c r="K19" s="236">
        <f t="shared" ref="K19:L19" si="3">SUM(K12:K18)</f>
        <v>246473</v>
      </c>
      <c r="L19" s="236">
        <f t="shared" si="3"/>
        <v>264394</v>
      </c>
      <c r="M19" s="123">
        <f t="shared" si="2"/>
        <v>0.07270978971</v>
      </c>
      <c r="N19" s="222"/>
      <c r="O19" s="222"/>
      <c r="P19" s="222"/>
      <c r="Q19" s="222"/>
      <c r="R19" s="222"/>
      <c r="S19" s="222"/>
      <c r="T19" s="222"/>
      <c r="U19" s="222"/>
      <c r="V19" s="222"/>
      <c r="W19" s="222"/>
      <c r="X19" s="222"/>
      <c r="Y19" s="222"/>
      <c r="Z19" s="222"/>
    </row>
    <row r="20" ht="12.0" customHeight="1">
      <c r="A20" s="227" t="s">
        <v>187</v>
      </c>
      <c r="B20" s="222"/>
      <c r="C20" s="222"/>
      <c r="D20" s="236">
        <f>SP1000P630700800900CY</f>
        <v>0</v>
      </c>
      <c r="E20" s="236">
        <f>SP1000P630700800900</f>
        <v>0</v>
      </c>
      <c r="F20" s="231" t="str">
        <f t="shared" si="1"/>
        <v> </v>
      </c>
      <c r="G20" s="222"/>
      <c r="H20" s="247"/>
      <c r="I20" s="247"/>
      <c r="J20" s="222"/>
      <c r="K20" s="248"/>
      <c r="L20" s="248"/>
      <c r="M20" s="125"/>
      <c r="N20" s="222"/>
      <c r="O20" s="222"/>
      <c r="P20" s="222"/>
      <c r="Q20" s="222"/>
      <c r="R20" s="222"/>
      <c r="S20" s="222"/>
      <c r="T20" s="222"/>
      <c r="U20" s="222"/>
      <c r="V20" s="222"/>
      <c r="W20" s="222"/>
      <c r="X20" s="222"/>
      <c r="Y20" s="222"/>
      <c r="Z20" s="222"/>
    </row>
    <row r="21" ht="12.0" customHeight="1">
      <c r="A21" s="249"/>
      <c r="B21" s="250" t="s">
        <v>335</v>
      </c>
      <c r="C21" s="244"/>
      <c r="D21" s="236">
        <f t="shared" ref="D21:E21" si="4">SUM(D6:D20)</f>
        <v>4855864</v>
      </c>
      <c r="E21" s="236">
        <f t="shared" si="4"/>
        <v>5227087</v>
      </c>
      <c r="F21" s="231">
        <f t="shared" si="1"/>
        <v>0.07644839312</v>
      </c>
      <c r="G21" s="222"/>
      <c r="H21" s="251" t="s">
        <v>336</v>
      </c>
      <c r="I21" s="34"/>
      <c r="J21" s="34"/>
      <c r="K21" s="34"/>
      <c r="L21" s="70"/>
      <c r="M21" s="125"/>
      <c r="N21" s="222"/>
      <c r="O21" s="222"/>
      <c r="P21" s="222"/>
      <c r="Q21" s="222"/>
      <c r="R21" s="222"/>
      <c r="S21" s="222"/>
      <c r="T21" s="222"/>
      <c r="U21" s="222"/>
      <c r="V21" s="222"/>
      <c r="W21" s="222"/>
      <c r="X21" s="222"/>
      <c r="Y21" s="222"/>
      <c r="Z21" s="222"/>
    </row>
    <row r="22" ht="12.0" customHeight="1">
      <c r="A22" s="227" t="s">
        <v>189</v>
      </c>
      <c r="B22" s="222"/>
      <c r="C22" s="222"/>
      <c r="D22" s="232"/>
      <c r="E22" s="233"/>
      <c r="F22" s="232"/>
      <c r="G22" s="222"/>
      <c r="H22" s="227"/>
      <c r="I22" s="222"/>
      <c r="J22" s="252" t="s">
        <v>156</v>
      </c>
      <c r="K22" s="70"/>
      <c r="L22" s="228" t="s">
        <v>162</v>
      </c>
      <c r="M22" s="125"/>
      <c r="N22" s="222"/>
      <c r="O22" s="222"/>
      <c r="P22" s="222"/>
      <c r="Q22" s="222"/>
      <c r="R22" s="222"/>
      <c r="S22" s="222"/>
      <c r="T22" s="222"/>
      <c r="U22" s="222"/>
      <c r="V22" s="222"/>
      <c r="W22" s="222"/>
      <c r="X22" s="222"/>
      <c r="Y22" s="222"/>
      <c r="Z22" s="222"/>
    </row>
    <row r="23" ht="12.0" customHeight="1">
      <c r="A23" s="227"/>
      <c r="B23" s="222" t="s">
        <v>173</v>
      </c>
      <c r="C23" s="222"/>
      <c r="D23" s="253">
        <f>SP1000P200F1000CY</f>
        <v>246473</v>
      </c>
      <c r="E23" s="254">
        <f>SP1000P200F1000</f>
        <v>264394</v>
      </c>
      <c r="F23" s="115">
        <f>IF(D23=0," ",(E23-D23)/D23)</f>
        <v>0.07270978971</v>
      </c>
      <c r="G23" s="222"/>
      <c r="H23" s="227"/>
      <c r="I23" s="222"/>
      <c r="J23" s="184" t="s">
        <v>292</v>
      </c>
      <c r="K23" s="184" t="s">
        <v>293</v>
      </c>
      <c r="L23" s="228" t="s">
        <v>169</v>
      </c>
      <c r="M23" s="125"/>
      <c r="N23" s="222"/>
      <c r="O23" s="222"/>
      <c r="P23" s="222"/>
      <c r="Q23" s="222"/>
      <c r="R23" s="222"/>
      <c r="S23" s="222"/>
      <c r="T23" s="222"/>
      <c r="U23" s="222"/>
      <c r="V23" s="222"/>
      <c r="W23" s="222"/>
      <c r="X23" s="222"/>
      <c r="Y23" s="222"/>
      <c r="Z23" s="222"/>
    </row>
    <row r="24" ht="12.0" customHeight="1">
      <c r="A24" s="227"/>
      <c r="B24" s="222" t="s">
        <v>174</v>
      </c>
      <c r="C24" s="222"/>
      <c r="D24" s="232"/>
      <c r="E24" s="232"/>
      <c r="F24" s="113"/>
      <c r="G24" s="222"/>
      <c r="H24" s="255"/>
      <c r="I24" s="222"/>
      <c r="J24" s="105">
        <v>2024.0</v>
      </c>
      <c r="K24" s="105">
        <v>2025.0</v>
      </c>
      <c r="L24" s="229" t="s">
        <v>171</v>
      </c>
      <c r="M24" s="125"/>
      <c r="N24" s="222"/>
      <c r="O24" s="222"/>
      <c r="P24" s="222"/>
      <c r="Q24" s="222"/>
      <c r="R24" s="222"/>
      <c r="S24" s="222"/>
      <c r="T24" s="222"/>
      <c r="U24" s="222"/>
      <c r="V24" s="222"/>
      <c r="W24" s="222"/>
      <c r="X24" s="222"/>
      <c r="Y24" s="222"/>
      <c r="Z24" s="222"/>
    </row>
    <row r="25" ht="12.0" customHeight="1">
      <c r="A25" s="227"/>
      <c r="B25" s="222"/>
      <c r="C25" s="222" t="s">
        <v>326</v>
      </c>
      <c r="D25" s="230">
        <f>SP1000P200F2100CY</f>
        <v>0</v>
      </c>
      <c r="E25" s="230">
        <f>SP1000P200F2100</f>
        <v>0</v>
      </c>
      <c r="F25" s="115" t="str">
        <f t="shared" ref="F25:F35" si="5">IF(D25=0," ",(E25-D25)/D25)</f>
        <v> </v>
      </c>
      <c r="G25" s="222"/>
      <c r="H25" s="256" t="s">
        <v>337</v>
      </c>
      <c r="I25" s="257"/>
      <c r="J25" s="230">
        <f>SP1000TotalCY</f>
        <v>5142337</v>
      </c>
      <c r="K25" s="230">
        <f>SP1000Total</f>
        <v>5536481</v>
      </c>
      <c r="L25" s="123">
        <f t="shared" ref="L25:L33" si="6">IF(J25=0," ",(K25-J25)/J25)</f>
        <v>0.07664686309</v>
      </c>
      <c r="M25" s="125"/>
      <c r="N25" s="222"/>
      <c r="O25" s="222"/>
      <c r="P25" s="222"/>
      <c r="Q25" s="222"/>
      <c r="R25" s="222"/>
      <c r="S25" s="222"/>
      <c r="T25" s="222"/>
      <c r="U25" s="222"/>
      <c r="V25" s="222"/>
      <c r="W25" s="222"/>
      <c r="X25" s="222"/>
      <c r="Y25" s="222"/>
      <c r="Z25" s="222"/>
    </row>
    <row r="26" ht="12.0" customHeight="1">
      <c r="A26" s="227"/>
      <c r="B26" s="222"/>
      <c r="C26" s="222" t="s">
        <v>327</v>
      </c>
      <c r="D26" s="230">
        <f>SP1000P200F2200CY</f>
        <v>0</v>
      </c>
      <c r="E26" s="230">
        <f>SP1000P200F2200</f>
        <v>0</v>
      </c>
      <c r="F26" s="113" t="str">
        <f t="shared" si="5"/>
        <v> </v>
      </c>
      <c r="G26" s="222"/>
      <c r="H26" s="77" t="s">
        <v>338</v>
      </c>
      <c r="I26" s="257"/>
      <c r="J26" s="236">
        <f>SP1000ClassSiteProjCY</f>
        <v>527269</v>
      </c>
      <c r="K26" s="236">
        <f>SP1000ClassSiteProj</f>
        <v>532801</v>
      </c>
      <c r="L26" s="123">
        <f t="shared" si="6"/>
        <v>0.0104917983</v>
      </c>
      <c r="M26" s="125"/>
      <c r="N26" s="222"/>
      <c r="O26" s="222"/>
      <c r="P26" s="222"/>
      <c r="Q26" s="222"/>
      <c r="R26" s="222"/>
      <c r="S26" s="222"/>
      <c r="T26" s="222"/>
      <c r="U26" s="222"/>
      <c r="V26" s="222"/>
      <c r="W26" s="222"/>
      <c r="X26" s="222"/>
      <c r="Y26" s="222"/>
      <c r="Z26" s="222"/>
    </row>
    <row r="27" ht="12.0" customHeight="1">
      <c r="A27" s="227"/>
      <c r="B27" s="222"/>
      <c r="C27" s="222" t="s">
        <v>328</v>
      </c>
      <c r="D27" s="230">
        <f>SP1000P200F2300CY</f>
        <v>0</v>
      </c>
      <c r="E27" s="230">
        <f>SP1000P200F2300</f>
        <v>0</v>
      </c>
      <c r="F27" s="231" t="str">
        <f t="shared" si="5"/>
        <v> </v>
      </c>
      <c r="G27" s="222"/>
      <c r="H27" s="77" t="s">
        <v>339</v>
      </c>
      <c r="I27" s="257"/>
      <c r="J27" s="236">
        <f>SP1000InstrImpProjCY</f>
        <v>0</v>
      </c>
      <c r="K27" s="236">
        <f>SP1000InstrImpProj</f>
        <v>33647</v>
      </c>
      <c r="L27" s="123" t="str">
        <f t="shared" si="6"/>
        <v> </v>
      </c>
      <c r="M27" s="125"/>
      <c r="N27" s="222"/>
      <c r="O27" s="222"/>
      <c r="P27" s="222"/>
      <c r="Q27" s="222"/>
      <c r="R27" s="222"/>
      <c r="S27" s="222"/>
      <c r="T27" s="222"/>
      <c r="U27" s="222"/>
      <c r="V27" s="222"/>
      <c r="W27" s="222"/>
      <c r="X27" s="222"/>
      <c r="Y27" s="222"/>
      <c r="Z27" s="222"/>
    </row>
    <row r="28" ht="12.0" customHeight="1">
      <c r="A28" s="227"/>
      <c r="B28" s="222"/>
      <c r="C28" s="222" t="s">
        <v>330</v>
      </c>
      <c r="D28" s="230">
        <f>SP1000P200F2400CY</f>
        <v>0</v>
      </c>
      <c r="E28" s="230">
        <f>SP1000P200F2400</f>
        <v>0</v>
      </c>
      <c r="F28" s="231" t="str">
        <f t="shared" si="5"/>
        <v> </v>
      </c>
      <c r="G28" s="222"/>
      <c r="H28" s="77" t="s">
        <v>340</v>
      </c>
      <c r="I28" s="257"/>
      <c r="J28" s="236">
        <f>SP1000StruEngImmProjCY</f>
        <v>41500</v>
      </c>
      <c r="K28" s="236">
        <f>SP1000StruEngImmProj</f>
        <v>13797</v>
      </c>
      <c r="L28" s="123">
        <f t="shared" si="6"/>
        <v>-0.6675421687</v>
      </c>
      <c r="M28" s="125"/>
      <c r="N28" s="222"/>
      <c r="O28" s="222"/>
      <c r="P28" s="222"/>
      <c r="Q28" s="222"/>
      <c r="R28" s="222"/>
      <c r="S28" s="222"/>
      <c r="T28" s="222"/>
      <c r="U28" s="222"/>
      <c r="V28" s="222"/>
      <c r="W28" s="222"/>
      <c r="X28" s="222"/>
      <c r="Y28" s="222"/>
      <c r="Z28" s="222"/>
    </row>
    <row r="29" ht="12.0" customHeight="1">
      <c r="A29" s="227"/>
      <c r="B29" s="222"/>
      <c r="C29" s="222" t="s">
        <v>331</v>
      </c>
      <c r="D29" s="230">
        <f>SP1000P200F2500CY</f>
        <v>0</v>
      </c>
      <c r="E29" s="230">
        <f>SP1000P200F2500</f>
        <v>0</v>
      </c>
      <c r="F29" s="231" t="str">
        <f t="shared" si="5"/>
        <v> </v>
      </c>
      <c r="G29" s="222"/>
      <c r="H29" s="77" t="s">
        <v>341</v>
      </c>
      <c r="I29" s="257"/>
      <c r="J29" s="236">
        <f>SP1000CompInstrProjCY</f>
        <v>0</v>
      </c>
      <c r="K29" s="236">
        <f>SP1000CompInstrProj</f>
        <v>0</v>
      </c>
      <c r="L29" s="123" t="str">
        <f t="shared" si="6"/>
        <v> </v>
      </c>
      <c r="M29" s="125"/>
      <c r="N29" s="222"/>
      <c r="O29" s="222"/>
      <c r="P29" s="222"/>
      <c r="Q29" s="222"/>
      <c r="R29" s="222"/>
      <c r="S29" s="222"/>
      <c r="T29" s="222"/>
      <c r="U29" s="222"/>
      <c r="V29" s="222"/>
      <c r="W29" s="222"/>
      <c r="X29" s="222"/>
      <c r="Y29" s="222"/>
      <c r="Z29" s="222"/>
    </row>
    <row r="30" ht="12.0" customHeight="1">
      <c r="A30" s="227"/>
      <c r="B30" s="222"/>
      <c r="C30" s="222" t="s">
        <v>332</v>
      </c>
      <c r="D30" s="230">
        <f>SP1000P200F2600CY</f>
        <v>0</v>
      </c>
      <c r="E30" s="230">
        <f>SP1000P200F2600</f>
        <v>0</v>
      </c>
      <c r="F30" s="231" t="str">
        <f t="shared" si="5"/>
        <v> </v>
      </c>
      <c r="G30" s="222"/>
      <c r="H30" s="77" t="s">
        <v>342</v>
      </c>
      <c r="I30" s="257"/>
      <c r="J30" s="236">
        <f>TotalFederalProjectsCY</f>
        <v>1096164</v>
      </c>
      <c r="K30" s="236">
        <f>TotalFederalProjects</f>
        <v>809642</v>
      </c>
      <c r="L30" s="123">
        <f t="shared" si="6"/>
        <v>-0.26138607</v>
      </c>
      <c r="M30" s="125"/>
      <c r="N30" s="222"/>
      <c r="O30" s="222"/>
      <c r="P30" s="222"/>
      <c r="Q30" s="222"/>
      <c r="R30" s="222"/>
      <c r="S30" s="222"/>
      <c r="T30" s="222"/>
      <c r="U30" s="222"/>
      <c r="V30" s="222"/>
      <c r="W30" s="222"/>
      <c r="X30" s="222"/>
      <c r="Y30" s="222"/>
      <c r="Z30" s="222"/>
    </row>
    <row r="31" ht="12.0" customHeight="1">
      <c r="A31" s="227"/>
      <c r="B31" s="222"/>
      <c r="C31" s="222" t="s">
        <v>333</v>
      </c>
      <c r="D31" s="230">
        <f>SP1000P200F2900CY</f>
        <v>0</v>
      </c>
      <c r="E31" s="230">
        <f>SP1000P200F2900</f>
        <v>0</v>
      </c>
      <c r="F31" s="231" t="str">
        <f t="shared" si="5"/>
        <v> </v>
      </c>
      <c r="G31" s="222"/>
      <c r="H31" s="77" t="s">
        <v>343</v>
      </c>
      <c r="I31" s="257"/>
      <c r="J31" s="236">
        <f>TotalStateProjectsCY</f>
        <v>56378</v>
      </c>
      <c r="K31" s="236">
        <f>TotalStateProjects</f>
        <v>178962</v>
      </c>
      <c r="L31" s="123">
        <f t="shared" si="6"/>
        <v>2.174323318</v>
      </c>
      <c r="M31" s="125"/>
      <c r="N31" s="222"/>
      <c r="O31" s="222"/>
      <c r="P31" s="222"/>
      <c r="Q31" s="222"/>
      <c r="R31" s="222"/>
      <c r="S31" s="222"/>
      <c r="T31" s="222"/>
      <c r="U31" s="222"/>
      <c r="V31" s="222"/>
      <c r="W31" s="222"/>
      <c r="X31" s="222"/>
      <c r="Y31" s="222"/>
      <c r="Z31" s="222"/>
    </row>
    <row r="32" ht="12.0" customHeight="1">
      <c r="A32" s="227"/>
      <c r="B32" s="222" t="s">
        <v>182</v>
      </c>
      <c r="C32" s="222"/>
      <c r="D32" s="230">
        <f>SP1000P200F3000CY</f>
        <v>0</v>
      </c>
      <c r="E32" s="230">
        <f>SP1000P200F3000</f>
        <v>0</v>
      </c>
      <c r="F32" s="231" t="str">
        <f t="shared" si="5"/>
        <v> </v>
      </c>
      <c r="G32" s="222"/>
      <c r="H32" s="77" t="s">
        <v>279</v>
      </c>
      <c r="I32" s="257"/>
      <c r="J32" s="236">
        <f>TotalCapitalAcquisitionsCY</f>
        <v>41000</v>
      </c>
      <c r="K32" s="236">
        <f>TotalCapitalAcquisitions</f>
        <v>26100</v>
      </c>
      <c r="L32" s="123">
        <f t="shared" si="6"/>
        <v>-0.3634146341</v>
      </c>
      <c r="M32" s="125"/>
      <c r="N32" s="222"/>
      <c r="O32" s="222"/>
      <c r="P32" s="222"/>
      <c r="Q32" s="222"/>
      <c r="R32" s="222"/>
      <c r="S32" s="222"/>
      <c r="T32" s="222"/>
      <c r="U32" s="222"/>
      <c r="V32" s="222"/>
      <c r="W32" s="222"/>
      <c r="X32" s="222"/>
      <c r="Y32" s="222"/>
      <c r="Z32" s="222"/>
    </row>
    <row r="33" ht="12.0" customHeight="1">
      <c r="A33" s="227"/>
      <c r="B33" s="222" t="s">
        <v>183</v>
      </c>
      <c r="C33" s="222"/>
      <c r="D33" s="230">
        <f>SP1000P200F4000CY</f>
        <v>0</v>
      </c>
      <c r="E33" s="230">
        <f>SP1000P200F4000</f>
        <v>0</v>
      </c>
      <c r="F33" s="231" t="str">
        <f t="shared" si="5"/>
        <v> </v>
      </c>
      <c r="G33" s="222"/>
      <c r="H33" s="77" t="s">
        <v>344</v>
      </c>
      <c r="I33" s="257"/>
      <c r="J33" s="236">
        <f t="shared" ref="J33:K33" si="7">SUM(J25:J32)</f>
        <v>6904648</v>
      </c>
      <c r="K33" s="236">
        <f t="shared" si="7"/>
        <v>7131430</v>
      </c>
      <c r="L33" s="123">
        <f t="shared" si="6"/>
        <v>0.03284483148</v>
      </c>
      <c r="M33" s="222"/>
      <c r="N33" s="222"/>
      <c r="O33" s="222"/>
      <c r="P33" s="222"/>
      <c r="Q33" s="222"/>
      <c r="R33" s="222"/>
      <c r="S33" s="222"/>
      <c r="T33" s="222"/>
      <c r="U33" s="222"/>
      <c r="V33" s="222"/>
      <c r="W33" s="222"/>
      <c r="X33" s="222"/>
      <c r="Y33" s="222"/>
      <c r="Z33" s="222"/>
    </row>
    <row r="34" ht="12.0" customHeight="1">
      <c r="A34" s="227"/>
      <c r="B34" s="222" t="s">
        <v>184</v>
      </c>
      <c r="C34" s="222"/>
      <c r="D34" s="230">
        <f>SP1000P200F5000CY</f>
        <v>0</v>
      </c>
      <c r="E34" s="230">
        <f>SP1000P200F5000</f>
        <v>0</v>
      </c>
      <c r="F34" s="231" t="str">
        <f t="shared" si="5"/>
        <v> </v>
      </c>
      <c r="G34" s="222"/>
      <c r="H34" s="222"/>
      <c r="I34" s="222"/>
      <c r="J34" s="222"/>
      <c r="K34" s="222"/>
      <c r="L34" s="222"/>
      <c r="M34" s="222"/>
      <c r="N34" s="222"/>
      <c r="O34" s="222"/>
      <c r="P34" s="222"/>
      <c r="Q34" s="222"/>
      <c r="R34" s="222"/>
      <c r="S34" s="222"/>
      <c r="T34" s="222"/>
      <c r="U34" s="222"/>
      <c r="V34" s="222"/>
      <c r="W34" s="222"/>
      <c r="X34" s="222"/>
      <c r="Y34" s="222"/>
      <c r="Z34" s="222"/>
    </row>
    <row r="35" ht="12.0" customHeight="1">
      <c r="A35" s="227"/>
      <c r="B35" s="222" t="s">
        <v>345</v>
      </c>
      <c r="C35" s="241"/>
      <c r="D35" s="245">
        <f t="shared" ref="D35:E35" si="8">SUM(D23:D34)</f>
        <v>246473</v>
      </c>
      <c r="E35" s="245">
        <f t="shared" si="8"/>
        <v>264394</v>
      </c>
      <c r="F35" s="231">
        <f t="shared" si="5"/>
        <v>0.07270978971</v>
      </c>
      <c r="G35" s="222"/>
      <c r="H35" s="251" t="s">
        <v>346</v>
      </c>
      <c r="I35" s="34"/>
      <c r="J35" s="34"/>
      <c r="K35" s="34"/>
      <c r="L35" s="70"/>
      <c r="M35" s="258" t="str">
        <f>IF(L37&lt;1,"Enter average salary on the budget Cover","")</f>
        <v/>
      </c>
      <c r="N35" s="259"/>
      <c r="O35" s="222"/>
      <c r="P35" s="222"/>
      <c r="Q35" s="222"/>
      <c r="R35" s="222"/>
      <c r="S35" s="222"/>
      <c r="T35" s="222"/>
      <c r="U35" s="222"/>
      <c r="V35" s="222"/>
      <c r="W35" s="222"/>
      <c r="X35" s="222"/>
      <c r="Y35" s="222"/>
      <c r="Z35" s="222"/>
    </row>
    <row r="36" ht="0.75" customHeight="1">
      <c r="A36" s="249" t="s">
        <v>347</v>
      </c>
      <c r="B36" s="250"/>
      <c r="C36" s="244"/>
      <c r="D36" s="230"/>
      <c r="E36" s="230"/>
      <c r="F36" s="115"/>
      <c r="G36" s="222"/>
      <c r="H36" s="222"/>
      <c r="I36" s="222"/>
      <c r="J36" s="260"/>
      <c r="K36" s="260"/>
      <c r="L36" s="260"/>
      <c r="N36" s="259"/>
      <c r="O36" s="222"/>
      <c r="P36" s="222"/>
      <c r="Q36" s="222"/>
      <c r="R36" s="222"/>
      <c r="S36" s="222"/>
      <c r="T36" s="222"/>
      <c r="U36" s="222"/>
      <c r="V36" s="222"/>
      <c r="W36" s="222"/>
      <c r="X36" s="222"/>
      <c r="Y36" s="222"/>
      <c r="Z36" s="222"/>
    </row>
    <row r="37" ht="12.0" customHeight="1">
      <c r="A37" s="256" t="s">
        <v>192</v>
      </c>
      <c r="B37" s="257"/>
      <c r="C37" s="261"/>
      <c r="D37" s="236">
        <f>SP1000P400CY</f>
        <v>40000</v>
      </c>
      <c r="E37" s="236">
        <f>SP1000P400</f>
        <v>45000</v>
      </c>
      <c r="F37" s="123">
        <f t="shared" ref="F37:F41" si="9">IF(D37=0," ",(E37-D37)/D37)</f>
        <v>0.125</v>
      </c>
      <c r="G37" s="222"/>
      <c r="H37" s="74" t="s">
        <v>348</v>
      </c>
      <c r="I37" s="34"/>
      <c r="J37" s="34"/>
      <c r="K37" s="70"/>
      <c r="L37" s="117">
        <f>BudgetYearSalary</f>
        <v>66791.03448</v>
      </c>
      <c r="N37" s="259"/>
      <c r="O37" s="222"/>
      <c r="P37" s="222"/>
      <c r="Q37" s="222"/>
      <c r="R37" s="222"/>
      <c r="S37" s="222"/>
      <c r="T37" s="222"/>
      <c r="U37" s="222"/>
      <c r="V37" s="222"/>
      <c r="W37" s="222"/>
      <c r="X37" s="222"/>
      <c r="Y37" s="222"/>
      <c r="Z37" s="222"/>
    </row>
    <row r="38" ht="12.0" customHeight="1">
      <c r="A38" s="256" t="s">
        <v>193</v>
      </c>
      <c r="B38" s="257"/>
      <c r="C38" s="261"/>
      <c r="D38" s="236">
        <f>SP1000P530CY</f>
        <v>0</v>
      </c>
      <c r="E38" s="236">
        <f>SP1000P530</f>
        <v>0</v>
      </c>
      <c r="F38" s="123" t="str">
        <f t="shared" si="9"/>
        <v> </v>
      </c>
      <c r="G38" s="222"/>
      <c r="H38" s="74" t="s">
        <v>349</v>
      </c>
      <c r="I38" s="34"/>
      <c r="J38" s="34"/>
      <c r="K38" s="70"/>
      <c r="L38" s="117">
        <f>PriorYearSalary</f>
        <v>62087</v>
      </c>
      <c r="N38" s="259"/>
      <c r="O38" s="222"/>
      <c r="P38" s="222"/>
      <c r="Q38" s="222"/>
      <c r="R38" s="222"/>
      <c r="S38" s="222"/>
      <c r="T38" s="222"/>
      <c r="U38" s="222"/>
      <c r="V38" s="222"/>
      <c r="W38" s="222"/>
      <c r="X38" s="222"/>
      <c r="Y38" s="222"/>
      <c r="Z38" s="222"/>
    </row>
    <row r="39" ht="12.0" customHeight="1">
      <c r="A39" s="256" t="s">
        <v>350</v>
      </c>
      <c r="B39" s="257"/>
      <c r="C39" s="261"/>
      <c r="D39" s="236">
        <f>SP1000P540CY</f>
        <v>0</v>
      </c>
      <c r="E39" s="236">
        <f>SP1000P540</f>
        <v>0</v>
      </c>
      <c r="F39" s="123" t="str">
        <f t="shared" si="9"/>
        <v> </v>
      </c>
      <c r="G39" s="222"/>
      <c r="H39" s="74" t="s">
        <v>351</v>
      </c>
      <c r="I39" s="34"/>
      <c r="J39" s="34"/>
      <c r="K39" s="70"/>
      <c r="L39" s="117">
        <f>SalaryIncreaseFromPriorYear</f>
        <v>4704.034483</v>
      </c>
      <c r="N39" s="259"/>
      <c r="O39" s="222"/>
      <c r="P39" s="222"/>
      <c r="Q39" s="222"/>
      <c r="R39" s="222"/>
      <c r="S39" s="222"/>
      <c r="T39" s="222"/>
      <c r="U39" s="222"/>
      <c r="V39" s="222"/>
      <c r="W39" s="222"/>
      <c r="X39" s="222"/>
      <c r="Y39" s="222"/>
      <c r="Z39" s="222"/>
    </row>
    <row r="40" ht="12.0" customHeight="1">
      <c r="A40" s="249" t="s">
        <v>195</v>
      </c>
      <c r="B40" s="250"/>
      <c r="C40" s="244"/>
      <c r="D40" s="236">
        <f>SP1000P550CY</f>
        <v>0</v>
      </c>
      <c r="E40" s="236">
        <f>SP1000P550</f>
        <v>0</v>
      </c>
      <c r="F40" s="123" t="str">
        <f t="shared" si="9"/>
        <v> </v>
      </c>
      <c r="G40" s="222"/>
      <c r="H40" s="74" t="s">
        <v>352</v>
      </c>
      <c r="I40" s="34"/>
      <c r="J40" s="34"/>
      <c r="K40" s="70"/>
      <c r="L40" s="216">
        <f>SalaryPercentageIncrease</f>
        <v>0.07576520822</v>
      </c>
      <c r="N40" s="259"/>
      <c r="O40" s="222"/>
      <c r="P40" s="222"/>
      <c r="Q40" s="222"/>
      <c r="R40" s="222"/>
      <c r="S40" s="222"/>
      <c r="T40" s="222"/>
      <c r="U40" s="222"/>
      <c r="V40" s="222"/>
      <c r="W40" s="222"/>
      <c r="X40" s="222"/>
      <c r="Y40" s="222"/>
      <c r="Z40" s="222"/>
    </row>
    <row r="41" ht="12.0" customHeight="1">
      <c r="A41" s="249"/>
      <c r="B41" s="250"/>
      <c r="C41" s="244" t="s">
        <v>334</v>
      </c>
      <c r="D41" s="230">
        <f t="shared" ref="D41:E41" si="10">SUM(D35:D40)+D21</f>
        <v>5142337</v>
      </c>
      <c r="E41" s="230">
        <f t="shared" si="10"/>
        <v>5536481</v>
      </c>
      <c r="F41" s="123">
        <f t="shared" si="9"/>
        <v>0.07664686309</v>
      </c>
      <c r="G41" s="222"/>
      <c r="H41" s="262" t="str">
        <f>IF(AverageSalaryCalculationComment&lt;&gt;"",AverageSalaryCalculationComment,"")</f>
        <v>Comments on average salary calculation (optional):</v>
      </c>
      <c r="I41" s="9"/>
      <c r="J41" s="9"/>
      <c r="K41" s="9"/>
      <c r="L41" s="57"/>
      <c r="N41" s="222"/>
      <c r="O41" s="222"/>
      <c r="P41" s="222"/>
      <c r="Q41" s="222"/>
      <c r="R41" s="222"/>
      <c r="S41" s="222"/>
      <c r="T41" s="222"/>
      <c r="U41" s="222"/>
      <c r="V41" s="222"/>
      <c r="W41" s="222"/>
      <c r="X41" s="222"/>
      <c r="Y41" s="222"/>
      <c r="Z41" s="222"/>
    </row>
    <row r="42" ht="12.0" customHeight="1">
      <c r="A42" s="222"/>
      <c r="B42" s="222"/>
      <c r="C42" s="222"/>
      <c r="D42" s="248"/>
      <c r="E42" s="248"/>
      <c r="F42" s="125"/>
      <c r="G42" s="222"/>
      <c r="H42" s="59"/>
      <c r="L42" s="28"/>
      <c r="N42" s="222"/>
      <c r="O42" s="222"/>
      <c r="P42" s="222"/>
      <c r="Q42" s="222"/>
      <c r="R42" s="222"/>
      <c r="S42" s="222"/>
      <c r="T42" s="222"/>
      <c r="U42" s="222"/>
      <c r="V42" s="222"/>
      <c r="W42" s="222"/>
      <c r="X42" s="222"/>
      <c r="Y42" s="222"/>
      <c r="Z42" s="222"/>
    </row>
    <row r="43" ht="12.0" customHeight="1">
      <c r="A43" s="222"/>
      <c r="B43" s="222"/>
      <c r="C43" s="222"/>
      <c r="D43" s="222"/>
      <c r="E43" s="222"/>
      <c r="F43" s="222"/>
      <c r="G43" s="222"/>
      <c r="H43" s="59"/>
      <c r="L43" s="28"/>
      <c r="N43" s="222"/>
      <c r="O43" s="222"/>
      <c r="P43" s="222"/>
      <c r="Q43" s="222"/>
      <c r="R43" s="222"/>
      <c r="S43" s="222"/>
      <c r="T43" s="222"/>
      <c r="U43" s="222"/>
      <c r="V43" s="222"/>
      <c r="W43" s="222"/>
      <c r="X43" s="222"/>
      <c r="Y43" s="222"/>
      <c r="Z43" s="222"/>
    </row>
    <row r="44" ht="12.0" customHeight="1">
      <c r="A44" s="222"/>
      <c r="B44" s="222"/>
      <c r="C44" s="222"/>
      <c r="D44" s="222"/>
      <c r="E44" s="222"/>
      <c r="F44" s="222"/>
      <c r="G44" s="222"/>
      <c r="H44" s="59"/>
      <c r="L44" s="28"/>
      <c r="N44" s="222"/>
      <c r="O44" s="222"/>
      <c r="P44" s="222"/>
      <c r="Q44" s="222"/>
      <c r="R44" s="222"/>
      <c r="S44" s="222"/>
      <c r="T44" s="222"/>
      <c r="U44" s="222"/>
      <c r="V44" s="222"/>
      <c r="W44" s="222"/>
      <c r="X44" s="222"/>
      <c r="Y44" s="222"/>
      <c r="Z44" s="222"/>
    </row>
    <row r="45" ht="12.0" customHeight="1">
      <c r="A45" s="222"/>
      <c r="B45" s="222"/>
      <c r="C45" s="222"/>
      <c r="D45" s="222"/>
      <c r="E45" s="222"/>
      <c r="F45" s="222"/>
      <c r="G45" s="222"/>
      <c r="H45" s="59"/>
      <c r="L45" s="28"/>
      <c r="N45" s="222"/>
      <c r="O45" s="222"/>
      <c r="P45" s="222"/>
      <c r="Q45" s="222"/>
      <c r="R45" s="222"/>
      <c r="S45" s="222"/>
      <c r="T45" s="222"/>
      <c r="U45" s="222"/>
      <c r="V45" s="222"/>
      <c r="W45" s="222"/>
      <c r="X45" s="222"/>
      <c r="Y45" s="222"/>
      <c r="Z45" s="222"/>
    </row>
    <row r="46" ht="12.0" customHeight="1">
      <c r="A46" s="222"/>
      <c r="B46" s="222"/>
      <c r="C46" s="222"/>
      <c r="D46" s="222"/>
      <c r="E46" s="222"/>
      <c r="F46" s="222"/>
      <c r="G46" s="222"/>
      <c r="H46" s="59"/>
      <c r="L46" s="28"/>
      <c r="M46" s="263"/>
      <c r="N46" s="222"/>
      <c r="O46" s="222"/>
      <c r="P46" s="222"/>
      <c r="Q46" s="222"/>
      <c r="R46" s="222"/>
      <c r="S46" s="222"/>
      <c r="T46" s="222"/>
      <c r="U46" s="222"/>
      <c r="V46" s="222"/>
      <c r="W46" s="222"/>
      <c r="X46" s="222"/>
      <c r="Y46" s="222"/>
      <c r="Z46" s="222"/>
    </row>
    <row r="47" ht="12.0" customHeight="1">
      <c r="A47" s="222"/>
      <c r="B47" s="222"/>
      <c r="C47" s="222"/>
      <c r="D47" s="222"/>
      <c r="E47" s="222"/>
      <c r="F47" s="222"/>
      <c r="G47" s="222"/>
      <c r="H47" s="61"/>
      <c r="I47" s="3"/>
      <c r="J47" s="3"/>
      <c r="K47" s="3"/>
      <c r="L47" s="62"/>
      <c r="M47" s="263"/>
      <c r="N47" s="222"/>
      <c r="O47" s="222"/>
      <c r="P47" s="222"/>
      <c r="Q47" s="222"/>
      <c r="R47" s="222"/>
      <c r="S47" s="222"/>
      <c r="T47" s="222"/>
      <c r="U47" s="222"/>
      <c r="V47" s="222"/>
      <c r="W47" s="222"/>
      <c r="X47" s="222"/>
      <c r="Y47" s="222"/>
      <c r="Z47" s="222"/>
    </row>
    <row r="48" ht="12.75" customHeight="1">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row>
    <row r="49" ht="12.75" customHeight="1">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row>
    <row r="50" ht="12.75" customHeight="1">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row>
    <row r="51" ht="12.75" customHeight="1">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row>
    <row r="52" ht="12.75" customHeight="1">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row>
    <row r="53" ht="12.75" customHeight="1">
      <c r="A53" s="222"/>
      <c r="B53" s="222"/>
      <c r="C53" s="222"/>
      <c r="D53" s="222"/>
      <c r="E53" s="222"/>
      <c r="F53" s="222"/>
      <c r="G53" s="222"/>
      <c r="H53" s="264"/>
      <c r="I53" s="222"/>
      <c r="J53" s="222"/>
      <c r="K53" s="222"/>
      <c r="L53" s="222"/>
      <c r="M53" s="222"/>
      <c r="N53" s="222"/>
      <c r="O53" s="222"/>
      <c r="P53" s="222"/>
      <c r="Q53" s="222"/>
      <c r="R53" s="222"/>
      <c r="S53" s="222"/>
      <c r="T53" s="222"/>
      <c r="U53" s="222"/>
      <c r="V53" s="222"/>
      <c r="W53" s="222"/>
      <c r="X53" s="222"/>
      <c r="Y53" s="222"/>
      <c r="Z53" s="222"/>
    </row>
    <row r="54" ht="12.75" customHeigh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row>
    <row r="55" ht="12.75" customHeight="1">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row>
    <row r="56" ht="12.75" customHeight="1">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row>
    <row r="57" ht="12.75" customHeight="1">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row>
    <row r="58" ht="12.75" customHeight="1">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row>
    <row r="59" ht="12.75"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row>
    <row r="60" ht="12.75" customHeight="1">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row>
    <row r="61" ht="12.75" customHeight="1">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row>
    <row r="62" ht="12.75" customHeight="1">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row>
    <row r="63" ht="12.75" customHeight="1">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row>
    <row r="64" ht="12.75"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row>
    <row r="65" ht="12.75" customHeight="1">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row>
    <row r="66" ht="12.75" customHeight="1">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ht="12.75" customHeight="1">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ht="12.75" customHeight="1">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ht="12.75" customHeight="1">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row r="70" ht="12.75" customHeight="1">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row>
    <row r="71" ht="12.75" customHeight="1">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row>
    <row r="72" ht="12.75" customHeight="1">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row>
    <row r="73" ht="12.75" customHeight="1">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row>
    <row r="74" ht="12.75"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row>
    <row r="75" ht="12.75" customHeight="1">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row>
    <row r="76" ht="12.75" customHeight="1">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row>
    <row r="77" ht="12.75" customHeight="1">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row>
    <row r="78" ht="12.7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row>
    <row r="79" ht="12.75" customHeight="1">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row>
    <row r="80" ht="12.75" customHeigh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ht="12.75" customHeight="1">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row>
    <row r="82" ht="12.75" customHeight="1">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row>
    <row r="83" ht="12.75" customHeight="1">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row>
    <row r="84" ht="12.75" customHeight="1">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row>
    <row r="85" ht="12.75" customHeight="1">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row>
    <row r="86" ht="12.75" customHeight="1">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row>
    <row r="87" ht="12.75" customHeight="1">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row>
    <row r="88" ht="12.75" customHeight="1">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row>
    <row r="89" ht="12.75" customHeight="1">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row>
    <row r="90" ht="12.75" customHeight="1">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row>
    <row r="91" ht="12.75" customHeight="1">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row>
    <row r="92" ht="12.75" customHeight="1">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row>
    <row r="93" ht="12.75" customHeight="1">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row>
    <row r="94" ht="12.75" customHeight="1">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row>
    <row r="95" ht="12.75" customHeight="1">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row>
    <row r="96" ht="12.75" customHeight="1">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row>
    <row r="97" ht="12.75" customHeight="1">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row>
    <row r="98" ht="12.75" customHeight="1">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row>
    <row r="99" ht="12.75" customHeight="1">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row>
    <row r="100" ht="12.75" customHeight="1">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row>
    <row r="101" ht="12.75" customHeight="1">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row>
    <row r="102" ht="12.75" customHeight="1">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row>
    <row r="103" ht="12.75" customHeight="1">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row>
    <row r="104" ht="12.75" customHeight="1">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row>
    <row r="105" ht="12.75" customHeight="1">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row>
    <row r="106" ht="12.7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row>
    <row r="107" ht="12.75" customHeight="1">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row>
    <row r="108" ht="12.75" customHeight="1">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row>
    <row r="109" ht="12.75" customHeight="1">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row>
    <row r="110" ht="12.75" customHeight="1">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row>
    <row r="111" ht="12.75"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row>
    <row r="112" ht="12.75" customHeight="1">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row>
    <row r="113" ht="12.75" customHeight="1">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row>
    <row r="114" ht="12.75" customHeight="1">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row>
    <row r="115" ht="12.75" customHeight="1">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row>
    <row r="116" ht="12.75" customHeight="1">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row>
    <row r="117" ht="12.7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row>
    <row r="118" ht="12.75" customHeight="1">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row>
    <row r="119" ht="12.75" customHeight="1">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row>
    <row r="120" ht="12.75"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row>
    <row r="121" ht="12.75"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row>
    <row r="122" ht="12.75"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row>
    <row r="123" ht="12.75" customHeight="1">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row>
    <row r="124" ht="12.75" customHeigh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row>
    <row r="125" ht="12.75" customHeigh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row>
    <row r="126" ht="12.75" customHeight="1">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row>
    <row r="127" ht="12.7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row>
    <row r="128" ht="12.7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row>
    <row r="129" ht="12.75" customHeight="1">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row>
    <row r="130" ht="12.75" customHeight="1">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row>
    <row r="131" ht="12.75" customHeight="1">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row>
    <row r="132" ht="12.75" customHeight="1">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row>
    <row r="133" ht="12.75" customHeight="1">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row>
    <row r="134" ht="12.7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row>
    <row r="135" ht="12.75" customHeight="1">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row>
    <row r="136" ht="12.75" customHeight="1">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row>
    <row r="137" ht="12.75" customHeight="1">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row>
    <row r="138" ht="12.75" customHeight="1">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row>
    <row r="139" ht="12.75" customHeight="1">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row>
    <row r="140" ht="12.75" customHeight="1">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row>
    <row r="141" ht="12.75" customHeight="1">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row>
    <row r="142" ht="12.75" customHeight="1">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row>
    <row r="143" ht="12.75"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row>
    <row r="144" ht="12.75" customHeight="1">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row>
    <row r="145" ht="12.75" customHeight="1">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row>
    <row r="146" ht="12.75" customHeight="1">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row>
    <row r="147" ht="12.75" customHeight="1">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row>
    <row r="148" ht="12.75" customHeight="1">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row>
    <row r="149" ht="12.75" customHeight="1">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row>
    <row r="150" ht="12.75" customHeight="1">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row>
    <row r="151" ht="12.7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row>
    <row r="152" ht="12.75" customHeight="1">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row>
    <row r="153" ht="12.75" customHeigh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row>
    <row r="154" ht="12.75" customHeight="1">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row>
    <row r="155" ht="12.75" customHeight="1">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row>
    <row r="156" ht="12.75" customHeight="1">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row>
    <row r="157" ht="12.75"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row>
    <row r="158" ht="12.75"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row>
    <row r="159" ht="12.75" customHeight="1">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row>
    <row r="160" ht="12.75" customHeight="1">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row>
    <row r="161" ht="12.75" customHeight="1">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row>
    <row r="162" ht="12.75" customHeight="1">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row>
    <row r="163" ht="12.75" customHeight="1">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row>
    <row r="164" ht="12.75" customHeight="1">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row>
    <row r="165" ht="12.75" customHeight="1">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row>
    <row r="166" ht="12.75" customHeight="1">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row>
    <row r="167" ht="12.75" customHeight="1">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row>
    <row r="168" ht="12.75" customHeight="1">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row>
    <row r="169" ht="12.75" customHeight="1">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row>
    <row r="170" ht="12.75" customHeight="1">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row>
    <row r="171" ht="12.75" customHeight="1">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row>
    <row r="172" ht="12.75" customHeight="1">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row>
    <row r="173" ht="12.75" customHeight="1">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row>
    <row r="174" ht="12.75" customHeight="1">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row>
    <row r="175" ht="12.75" customHeight="1">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row>
    <row r="176" ht="12.75" customHeight="1">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row>
    <row r="177" ht="12.75" customHeight="1">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row>
    <row r="178" ht="12.75" customHeight="1">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row>
    <row r="179" ht="12.75" customHeight="1">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row>
    <row r="180" ht="12.75" customHeight="1">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row>
    <row r="181" ht="12.75" customHeight="1">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row>
    <row r="182" ht="12.75" customHeight="1">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row>
    <row r="183" ht="12.75" customHeight="1">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row>
    <row r="184" ht="12.75" customHeight="1">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row>
    <row r="185" ht="12.75" customHeight="1">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row>
    <row r="186" ht="12.75" customHeight="1">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row>
    <row r="187" ht="12.75" customHeight="1">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row>
    <row r="188" ht="12.75" customHeight="1">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row>
    <row r="189" ht="12.75" customHeight="1">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row>
    <row r="190" ht="12.75" customHeight="1">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row>
    <row r="191" ht="12.75" customHeight="1">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row>
    <row r="192" ht="12.75" customHeight="1">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row>
    <row r="193" ht="12.75" customHeight="1">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row>
    <row r="194" ht="12.75" customHeight="1">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row>
    <row r="195" ht="12.75" customHeight="1">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ht="12.75" customHeight="1">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ht="12.75" customHeight="1">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row>
    <row r="198" ht="12.75" customHeight="1">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row>
    <row r="199" ht="12.75" customHeight="1">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row>
    <row r="200" ht="12.75" customHeight="1">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row>
    <row r="201" ht="12.75" customHeight="1">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row>
    <row r="202" ht="12.75" customHeight="1">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row>
    <row r="203" ht="12.75" customHeight="1">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row>
    <row r="204" ht="12.75" customHeight="1">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row>
    <row r="205" ht="12.75" customHeight="1">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row>
    <row r="206" ht="12.75" customHeight="1">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row>
    <row r="207" ht="12.75" customHeight="1">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row>
    <row r="208" ht="12.75" customHeight="1">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row>
    <row r="209" ht="12.75" customHeight="1">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row>
    <row r="210" ht="12.75" customHeight="1">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row>
    <row r="211" ht="12.75" customHeight="1">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row>
    <row r="212" ht="12.75"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row>
    <row r="213" ht="12.75"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row>
    <row r="214" ht="12.75"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row>
    <row r="215" ht="12.7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row>
    <row r="216" ht="12.75" customHeight="1">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row>
    <row r="217" ht="12.75" customHeight="1">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row>
    <row r="218" ht="12.75" customHeight="1">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row>
    <row r="219" ht="12.75" customHeight="1">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row>
    <row r="220" ht="12.75" customHeight="1">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row>
    <row r="221" ht="12.75" customHeight="1">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row>
    <row r="222" ht="12.75" customHeight="1">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row>
    <row r="223" ht="12.75" customHeight="1">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row>
    <row r="224" ht="12.75" customHeight="1">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row>
    <row r="225" ht="12.75" customHeight="1">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row>
    <row r="226" ht="12.75" customHeight="1">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row>
    <row r="227" ht="12.75" customHeight="1">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row>
    <row r="228" ht="12.75" customHeight="1">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row>
    <row r="229" ht="12.75" customHeight="1">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row>
    <row r="230" ht="12.75" customHeight="1">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row>
    <row r="231" ht="12.75" customHeight="1">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row>
    <row r="232" ht="12.75" customHeight="1">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row>
    <row r="233" ht="12.75" customHeight="1">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row>
    <row r="234" ht="12.75" customHeight="1">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row>
    <row r="235" ht="12.75" customHeight="1">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row>
    <row r="236" ht="12.75" customHeight="1">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row>
    <row r="237" ht="12.75" customHeight="1">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row>
    <row r="238" ht="12.75" customHeight="1">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row>
    <row r="239" ht="12.75" customHeight="1">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row>
    <row r="240" ht="12.75" customHeight="1">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row>
    <row r="241" ht="12.75" customHeight="1">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row>
    <row r="242" ht="12.75" customHeight="1">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row>
    <row r="243" ht="12.75" customHeight="1">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row>
    <row r="244" ht="12.75" customHeight="1">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row>
    <row r="245" ht="12.75" customHeight="1">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row>
    <row r="246" ht="12.75" customHeight="1">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row>
    <row r="247" ht="12.75" customHeight="1">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row>
    <row r="248" ht="12.75" customHeight="1">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row>
    <row r="249" ht="12.75" customHeight="1">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row>
    <row r="250" ht="12.75" customHeight="1">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row>
    <row r="251" ht="12.75" customHeight="1">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row>
    <row r="252" ht="12.75" customHeight="1">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row>
    <row r="253" ht="12.75" customHeight="1">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row>
    <row r="254" ht="12.75" customHeight="1">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row>
    <row r="255" ht="12.75" customHeight="1">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row>
    <row r="256" ht="12.75" customHeight="1">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row>
    <row r="257" ht="12.75" customHeight="1">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row>
    <row r="258" ht="12.75" customHeight="1">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row>
    <row r="259" ht="12.75" customHeight="1">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row>
    <row r="260" ht="12.75" customHeight="1">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row>
    <row r="261" ht="12.75" customHeight="1">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row>
    <row r="262" ht="12.75" customHeight="1">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row>
    <row r="263" ht="12.7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row>
    <row r="264" ht="12.7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row>
    <row r="265" ht="12.75" customHeight="1">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row>
    <row r="266" ht="12.75" customHeight="1">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row>
    <row r="267" ht="12.75" customHeight="1">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row>
    <row r="268" ht="12.75" customHeight="1">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row>
    <row r="269" ht="12.75" customHeight="1">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row>
    <row r="270" ht="12.75" customHeight="1">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row>
    <row r="271" ht="12.75" customHeight="1">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row>
    <row r="272" ht="12.75" customHeight="1">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row>
    <row r="273" ht="12.75" customHeight="1">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row>
    <row r="274" ht="12.75" customHeight="1">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row>
    <row r="275" ht="12.75" customHeight="1">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row>
    <row r="276" ht="12.75" customHeight="1">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row>
    <row r="277" ht="12.75" customHeight="1">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row>
    <row r="278" ht="12.75" customHeight="1">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row>
    <row r="279" ht="12.75" customHeight="1">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row>
    <row r="280" ht="12.75" customHeight="1">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row>
    <row r="281" ht="12.75" customHeight="1">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row>
    <row r="282" ht="12.75" customHeight="1">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row>
    <row r="283" ht="12.75" customHeight="1">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row>
    <row r="284" ht="12.75" customHeight="1">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ht="12.75" customHeight="1">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row>
    <row r="286" ht="12.75" customHeight="1">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row>
    <row r="287" ht="12.75" customHeight="1">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row>
    <row r="288" ht="12.75" customHeight="1">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row>
    <row r="289" ht="12.75" customHeight="1">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row>
    <row r="290" ht="12.75" customHeight="1">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row>
    <row r="291" ht="12.75" customHeight="1">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row>
    <row r="292" ht="12.75" customHeight="1">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row>
    <row r="293" ht="12.75" customHeight="1">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row>
    <row r="294" ht="12.75" customHeight="1">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row>
    <row r="295" ht="12.75" customHeight="1">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row>
    <row r="296" ht="12.75" customHeight="1">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row>
    <row r="297" ht="12.75" customHeight="1">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row>
    <row r="298" ht="12.75" customHeight="1">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row>
    <row r="299" ht="12.75" customHeight="1">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row>
    <row r="300" ht="12.75" customHeight="1">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row>
    <row r="301" ht="12.75" customHeight="1">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row>
    <row r="302" ht="12.75" customHeight="1">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row>
    <row r="303" ht="12.75" customHeight="1">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row>
    <row r="304" ht="12.75" customHeight="1">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row>
    <row r="305" ht="12.75" customHeight="1">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row>
    <row r="306" ht="12.75" customHeight="1">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row>
    <row r="307" ht="12.75" customHeight="1">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row>
    <row r="308" ht="12.75" customHeight="1">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row>
    <row r="309" ht="12.75" customHeight="1">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row>
    <row r="310" ht="12.75" customHeight="1">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row>
    <row r="311" ht="12.75" customHeight="1">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row>
    <row r="312" ht="12.75" customHeight="1">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row>
    <row r="313" ht="12.75" customHeight="1">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row>
    <row r="314" ht="12.75" customHeight="1">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row>
    <row r="315" ht="12.75" customHeight="1">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row>
    <row r="316" ht="12.75" customHeight="1">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row>
    <row r="317" ht="12.75" customHeight="1">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row>
    <row r="318" ht="12.75" customHeight="1">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row>
    <row r="319" ht="12.75" customHeight="1">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row>
    <row r="320" ht="12.75" customHeight="1">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row>
    <row r="321" ht="12.75" customHeight="1">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row>
    <row r="322" ht="12.75" customHeight="1">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row>
    <row r="323" ht="12.75" customHeight="1">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row>
    <row r="324" ht="12.75"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row>
    <row r="325" ht="12.75"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row>
    <row r="326" ht="12.75" customHeight="1">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row>
    <row r="327" ht="12.75" customHeight="1">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row>
    <row r="328" ht="12.75" customHeight="1">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row>
    <row r="329" ht="12.75" customHeight="1">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row>
    <row r="330" ht="12.75" customHeight="1">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row>
    <row r="331" ht="12.75" customHeight="1">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row>
    <row r="332" ht="12.75" customHeight="1">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row>
    <row r="333" ht="12.75" customHeight="1">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row>
    <row r="334" ht="12.75" customHeight="1">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row>
    <row r="335" ht="12.75" customHeight="1">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row>
    <row r="336" ht="12.75" customHeight="1">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row>
    <row r="337" ht="12.75" customHeight="1">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row>
    <row r="338" ht="12.75" customHeight="1">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row>
    <row r="339" ht="12.75" customHeight="1">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row>
    <row r="340" ht="12.75" customHeight="1">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row>
    <row r="341" ht="12.75" customHeight="1">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row>
    <row r="342" ht="12.75" customHeight="1">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row>
    <row r="343" ht="12.75" customHeight="1">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row>
    <row r="344" ht="12.75" customHeight="1">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ht="12.75" customHeight="1">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row>
    <row r="346" ht="12.75" customHeight="1">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row>
    <row r="347" ht="12.75" customHeight="1">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row>
    <row r="348" ht="12.75" customHeight="1">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row>
    <row r="349" ht="12.75" customHeight="1">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row>
    <row r="350" ht="12.75" customHeight="1">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row>
    <row r="351" ht="12.75" customHeight="1">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row>
    <row r="352" ht="12.75" customHeight="1">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row>
    <row r="353" ht="12.75" customHeight="1">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row>
    <row r="354" ht="12.75" customHeight="1">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row>
    <row r="355" ht="12.75" customHeight="1">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row>
    <row r="356" ht="12.75" customHeight="1">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row>
    <row r="357" ht="12.75" customHeight="1">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row>
    <row r="358" ht="12.75" customHeight="1">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row>
    <row r="359" ht="12.75" customHeight="1">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row>
    <row r="360" ht="12.75" customHeight="1">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row>
    <row r="361" ht="12.75" customHeight="1">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row>
    <row r="362" ht="12.75" customHeight="1">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row>
    <row r="363" ht="12.75" customHeight="1">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row>
    <row r="364" ht="12.75" customHeight="1">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row>
    <row r="365" ht="12.75" customHeight="1">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row>
    <row r="366" ht="12.75" customHeight="1">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row>
    <row r="367" ht="12.75" customHeight="1">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row>
    <row r="368" ht="12.75" customHeight="1">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row>
    <row r="369" ht="12.75" customHeight="1">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row>
    <row r="370" ht="12.75" customHeight="1">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row>
    <row r="371" ht="12.75" customHeight="1">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row>
    <row r="372" ht="12.75" customHeight="1">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row>
    <row r="373" ht="12.75" customHeight="1">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row>
    <row r="374" ht="12.75" customHeight="1">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row>
    <row r="375" ht="12.75" customHeight="1">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row>
    <row r="376" ht="12.75" customHeight="1">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row>
    <row r="377" ht="12.75" customHeight="1">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row>
    <row r="378" ht="12.75" customHeight="1">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row>
    <row r="379" ht="12.75" customHeight="1">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row>
    <row r="380" ht="12.75" customHeight="1">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ht="12.75" customHeight="1">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row>
    <row r="382" ht="12.75" customHeight="1">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row>
    <row r="383" ht="12.75" customHeight="1">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row>
    <row r="384" ht="12.75" customHeight="1">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row>
    <row r="385" ht="12.75" customHeight="1">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row>
    <row r="386" ht="12.75" customHeight="1">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row>
    <row r="387" ht="12.75" customHeight="1">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row>
    <row r="388" ht="12.75" customHeight="1">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row>
    <row r="389" ht="12.75" customHeight="1">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row>
    <row r="390" ht="12.75" customHeight="1">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row>
    <row r="391" ht="12.75" customHeight="1">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row>
    <row r="392" ht="12.75" customHeight="1">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row>
    <row r="393" ht="12.75" customHeight="1">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row>
    <row r="394" ht="12.75" customHeight="1">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row>
    <row r="395" ht="12.75" customHeight="1">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ht="12.75" customHeight="1">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row>
    <row r="397" ht="12.75" customHeight="1">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row>
    <row r="398" ht="12.75" customHeight="1">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row>
    <row r="399" ht="12.75" customHeight="1">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row>
    <row r="400" ht="12.75" customHeight="1">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row>
    <row r="401" ht="12.75" customHeight="1">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row>
    <row r="402" ht="12.75" customHeight="1">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row>
    <row r="403" ht="12.75" customHeight="1">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row>
    <row r="404" ht="12.75" customHeight="1">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row>
    <row r="405" ht="12.75" customHeight="1">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row>
    <row r="406" ht="12.75" customHeight="1">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row>
    <row r="407" ht="12.75" customHeight="1">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row>
    <row r="408" ht="12.75" customHeight="1">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row>
    <row r="409" ht="12.75" customHeight="1">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row>
    <row r="410" ht="12.75" customHeight="1">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row>
    <row r="411" ht="12.75" customHeight="1">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row>
    <row r="412" ht="12.75" customHeight="1">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row>
    <row r="413" ht="12.75" customHeight="1">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row>
    <row r="414" ht="12.75" customHeight="1">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row>
    <row r="415" ht="12.75" customHeight="1">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row>
    <row r="416" ht="12.75" customHeight="1">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ht="12.75" customHeight="1">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row>
    <row r="418" ht="12.75" customHeight="1">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row>
    <row r="419" ht="12.75" customHeight="1">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row>
    <row r="420" ht="12.75" customHeight="1">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row>
    <row r="421" ht="12.75" customHeight="1">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row>
    <row r="422" ht="12.75" customHeight="1">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row>
    <row r="423" ht="12.75" customHeight="1">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row>
    <row r="424" ht="12.75" customHeight="1">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row>
    <row r="425" ht="12.75" customHeight="1">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row>
    <row r="426" ht="12.75" customHeight="1">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row>
    <row r="427" ht="12.75" customHeight="1">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row>
    <row r="428" ht="12.75" customHeight="1">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row>
    <row r="429" ht="12.75" customHeight="1">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row>
    <row r="430" ht="12.75" customHeight="1">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row>
    <row r="431" ht="12.75" customHeight="1">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ht="12.75" customHeight="1">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row>
    <row r="433" ht="12.75" customHeight="1">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row>
    <row r="434" ht="12.75" customHeight="1">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row>
    <row r="435" ht="12.75" customHeight="1">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row>
    <row r="436" ht="12.75" customHeight="1">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row>
    <row r="437" ht="12.75" customHeight="1">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row>
    <row r="438" ht="12.75" customHeight="1">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row>
    <row r="439" ht="12.75" customHeight="1">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row>
    <row r="440" ht="12.75" customHeight="1">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row>
    <row r="441" ht="12.75" customHeight="1">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row>
    <row r="442" ht="12.75" customHeight="1">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row>
    <row r="443" ht="12.75" customHeight="1">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row>
    <row r="444" ht="12.75" customHeight="1">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row>
    <row r="445" ht="12.75" customHeight="1">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row>
    <row r="446" ht="12.75" customHeight="1">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row>
    <row r="447" ht="12.75" customHeight="1">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row>
    <row r="448" ht="12.75" customHeight="1">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row>
    <row r="449" ht="12.75" customHeight="1">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row>
    <row r="450" ht="12.75" customHeight="1">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row>
    <row r="451" ht="12.75" customHeight="1">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row>
    <row r="452" ht="12.75" customHeight="1">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row>
    <row r="453" ht="12.75" customHeight="1">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row>
    <row r="454" ht="12.75" customHeight="1">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row>
    <row r="455" ht="12.75" customHeight="1">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row>
    <row r="456" ht="12.75" customHeight="1">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row>
    <row r="457" ht="12.75" customHeight="1">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row>
    <row r="458" ht="12.75" customHeight="1">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row>
    <row r="459" ht="12.75" customHeight="1">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row>
    <row r="460" ht="12.75" customHeight="1">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row>
    <row r="461" ht="12.75" customHeight="1">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row>
    <row r="462" ht="12.75" customHeight="1">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row>
    <row r="463" ht="12.75" customHeight="1">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row>
    <row r="464" ht="12.75" customHeight="1">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row>
    <row r="465" ht="12.75" customHeight="1">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row>
    <row r="466" ht="12.75" customHeight="1">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row>
    <row r="467" ht="12.75" customHeight="1">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ht="12.75" customHeight="1">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row>
    <row r="469" ht="12.75" customHeight="1">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row>
    <row r="470" ht="12.75" customHeight="1">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row>
    <row r="471" ht="12.75" customHeight="1">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row>
    <row r="472" ht="12.75" customHeight="1">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row>
    <row r="473" ht="12.75" customHeight="1">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row>
    <row r="474" ht="12.75" customHeight="1">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row>
    <row r="475" ht="12.75" customHeight="1">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row>
    <row r="476" ht="12.75" customHeight="1">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row>
    <row r="477" ht="12.75" customHeight="1">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row>
    <row r="478" ht="12.75" customHeight="1">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row>
    <row r="479" ht="12.75" customHeight="1">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row>
    <row r="480" ht="12.75" customHeight="1">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row>
    <row r="481" ht="12.75" customHeight="1">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row>
    <row r="482" ht="12.75" customHeight="1">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row>
    <row r="483" ht="12.75" customHeight="1">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row>
    <row r="484" ht="12.75" customHeight="1">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row>
    <row r="485" ht="12.75" customHeight="1">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row>
    <row r="486" ht="12.75" customHeight="1">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row>
    <row r="487" ht="12.75" customHeight="1">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row>
    <row r="488" ht="12.75" customHeight="1">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row>
    <row r="489" ht="12.75" customHeight="1">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row>
    <row r="490" ht="12.75" customHeight="1">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row>
    <row r="491" ht="12.75" customHeight="1">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row>
    <row r="492" ht="12.75" customHeight="1">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row>
    <row r="493" ht="12.75" customHeight="1">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row>
    <row r="494" ht="12.75" customHeight="1">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row>
    <row r="495" ht="12.75" customHeight="1">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row>
    <row r="496" ht="12.75" customHeight="1">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row>
    <row r="497" ht="12.75" customHeight="1">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row>
    <row r="498" ht="12.75" customHeight="1">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row>
    <row r="499" ht="12.75" customHeight="1">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row>
    <row r="500" ht="12.75" customHeight="1">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row>
    <row r="501" ht="12.75" customHeight="1">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row>
    <row r="502" ht="12.75" customHeight="1">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row>
    <row r="503" ht="12.75" customHeight="1">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row>
    <row r="504" ht="12.75" customHeight="1">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row>
    <row r="505" ht="12.75" customHeight="1">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row>
    <row r="506" ht="12.75" customHeight="1">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row>
    <row r="507" ht="12.75" customHeight="1">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row>
    <row r="508" ht="12.75" customHeight="1">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row>
    <row r="509" ht="12.75" customHeight="1">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row>
    <row r="510" ht="12.75" customHeight="1">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row>
    <row r="511" ht="12.75" customHeight="1">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row>
    <row r="512" ht="12.75" customHeight="1">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row>
    <row r="513" ht="12.75" customHeight="1">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row>
    <row r="514" ht="12.75" customHeight="1">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row>
    <row r="515" ht="12.75" customHeight="1">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row>
    <row r="516" ht="12.75" customHeight="1">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row>
    <row r="517" ht="12.75" customHeight="1">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row>
    <row r="518" ht="12.75" customHeight="1">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row>
    <row r="519" ht="12.75" customHeight="1">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row>
    <row r="520" ht="12.75" customHeight="1">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row>
    <row r="521" ht="12.75" customHeight="1">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row>
    <row r="522" ht="12.75" customHeight="1">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row>
    <row r="523" ht="12.75" customHeight="1">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row>
    <row r="524" ht="12.75" customHeight="1">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row>
    <row r="525" ht="12.75" customHeight="1">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row>
    <row r="526" ht="12.75" customHeight="1">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row>
    <row r="527" ht="12.75" customHeight="1">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row>
    <row r="528" ht="12.75" customHeight="1">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row>
    <row r="529" ht="12.75" customHeight="1">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row>
    <row r="530" ht="12.75" customHeight="1">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row>
    <row r="531" ht="12.75" customHeight="1">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row>
    <row r="532" ht="12.75" customHeight="1">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row>
    <row r="533" ht="12.75" customHeight="1">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row>
    <row r="534" ht="12.75" customHeight="1">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row>
    <row r="535" ht="12.75" customHeight="1">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row>
    <row r="536" ht="12.75" customHeight="1">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row>
    <row r="537" ht="12.75" customHeight="1">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row>
    <row r="538" ht="12.75" customHeight="1">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row>
    <row r="539" ht="12.75" customHeight="1">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row>
    <row r="540" ht="12.75" customHeight="1">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row>
    <row r="541" ht="12.75" customHeight="1">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row>
    <row r="542" ht="12.75" customHeight="1">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row>
    <row r="543" ht="12.75" customHeight="1">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row>
    <row r="544" ht="12.75" customHeight="1">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row>
    <row r="545" ht="12.75" customHeight="1">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row>
    <row r="546" ht="12.75" customHeight="1">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row>
    <row r="547" ht="12.75" customHeight="1">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row>
    <row r="548" ht="12.75" customHeight="1">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row>
    <row r="549" ht="12.75" customHeight="1">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row>
    <row r="550" ht="12.75" customHeight="1">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row>
    <row r="551" ht="12.75" customHeight="1">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row>
    <row r="552" ht="12.75" customHeight="1">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row>
    <row r="553" ht="12.75" customHeight="1">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row>
    <row r="554" ht="12.75" customHeight="1">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row>
    <row r="555" ht="12.75" customHeight="1">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row>
    <row r="556" ht="12.75" customHeight="1">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row>
    <row r="557" ht="12.75" customHeight="1">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row>
    <row r="558" ht="12.75" customHeight="1">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row>
    <row r="559" ht="12.75" customHeight="1">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row>
    <row r="560" ht="12.75" customHeight="1">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row>
    <row r="561" ht="12.75" customHeight="1">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row>
    <row r="562" ht="12.75" customHeight="1">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row>
    <row r="563" ht="12.75" customHeight="1">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row>
    <row r="564" ht="12.75" customHeight="1">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row>
    <row r="565" ht="12.75" customHeight="1">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row>
    <row r="566" ht="12.75" customHeight="1">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row>
    <row r="567" ht="12.75" customHeight="1">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row>
    <row r="568" ht="12.75" customHeight="1">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row>
    <row r="569" ht="12.75" customHeight="1">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row>
    <row r="570" ht="12.75" customHeight="1">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row>
    <row r="571" ht="12.75" customHeight="1">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row>
    <row r="572" ht="12.75" customHeight="1">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row>
    <row r="573" ht="12.75" customHeight="1">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row>
    <row r="574" ht="12.75" customHeight="1">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row>
    <row r="575" ht="12.75" customHeight="1">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row>
    <row r="576" ht="12.75" customHeight="1">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row>
    <row r="577" ht="12.75" customHeight="1">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row>
    <row r="578" ht="12.75" customHeight="1">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row>
    <row r="579" ht="12.75" customHeight="1">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row>
    <row r="580" ht="12.75" customHeight="1">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row>
    <row r="581" ht="12.75" customHeight="1">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row>
    <row r="582" ht="12.75" customHeight="1">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row>
    <row r="583" ht="12.75" customHeight="1">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row>
    <row r="584" ht="12.75" customHeight="1">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row>
    <row r="585" ht="12.75" customHeight="1">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row>
    <row r="586" ht="12.75" customHeight="1">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row>
    <row r="587" ht="12.75" customHeight="1">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row>
    <row r="588" ht="12.75" customHeight="1">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row>
    <row r="589" ht="12.75" customHeight="1">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row>
    <row r="590" ht="12.75" customHeight="1">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row>
    <row r="591" ht="12.75" customHeight="1">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row>
    <row r="592" ht="12.75" customHeight="1">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row>
    <row r="593" ht="12.75" customHeight="1">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row>
    <row r="594" ht="12.75" customHeight="1">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row>
    <row r="595" ht="12.75" customHeight="1">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row>
    <row r="596" ht="12.75" customHeight="1">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row>
    <row r="597" ht="12.75" customHeight="1">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row>
    <row r="598" ht="12.75" customHeight="1">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row>
    <row r="599" ht="12.75" customHeight="1">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row>
    <row r="600" ht="12.75" customHeight="1">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row>
    <row r="601" ht="12.75" customHeight="1">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row>
    <row r="602" ht="12.75" customHeight="1">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row>
    <row r="603" ht="12.75" customHeight="1">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row>
    <row r="604" ht="12.75" customHeight="1">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row>
    <row r="605" ht="12.75" customHeight="1">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row>
    <row r="606" ht="12.75" customHeight="1">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row>
    <row r="607" ht="12.75" customHeight="1">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row>
    <row r="608" ht="12.75" customHeight="1">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row>
    <row r="609" ht="12.75" customHeight="1">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row>
    <row r="610" ht="12.75" customHeight="1">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row>
    <row r="611" ht="12.75" customHeight="1">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row>
    <row r="612" ht="12.75" customHeight="1">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row>
    <row r="613" ht="12.75" customHeight="1">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row>
    <row r="614" ht="12.75" customHeight="1">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row>
    <row r="615" ht="12.75" customHeight="1">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row>
    <row r="616" ht="12.75" customHeight="1">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row>
    <row r="617" ht="12.75" customHeight="1">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row>
    <row r="618" ht="12.75" customHeight="1">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row>
    <row r="619" ht="12.75" customHeight="1">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row>
    <row r="620" ht="12.75" customHeight="1">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row>
    <row r="621" ht="12.75" customHeight="1">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row>
    <row r="622" ht="12.75" customHeight="1">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row>
    <row r="623" ht="12.75" customHeight="1">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row>
    <row r="624" ht="12.75" customHeight="1">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row>
    <row r="625" ht="12.75" customHeight="1">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row>
    <row r="626" ht="12.75" customHeight="1">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row>
    <row r="627" ht="12.75" customHeight="1">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row>
    <row r="628" ht="12.75" customHeight="1">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row>
    <row r="629" ht="12.75" customHeight="1">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row>
    <row r="630" ht="12.75" customHeight="1">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row>
    <row r="631" ht="12.75" customHeight="1">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row>
    <row r="632" ht="12.75" customHeight="1">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row>
    <row r="633" ht="12.75" customHeight="1">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row>
    <row r="634" ht="12.75" customHeight="1">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row>
    <row r="635" ht="12.75" customHeight="1">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row>
    <row r="636" ht="12.75" customHeight="1">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row>
    <row r="637" ht="12.75" customHeight="1">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row>
    <row r="638" ht="12.75" customHeight="1">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row>
    <row r="639" ht="12.75" customHeight="1">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row>
    <row r="640" ht="12.75" customHeight="1">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row>
    <row r="641" ht="12.75" customHeight="1">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row>
    <row r="642" ht="12.75" customHeight="1">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row>
    <row r="643" ht="12.75" customHeight="1">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row>
    <row r="644" ht="12.75" customHeight="1">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row>
    <row r="645" ht="12.75" customHeight="1">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row>
    <row r="646" ht="12.75" customHeight="1">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row>
    <row r="647" ht="12.75" customHeight="1">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row>
    <row r="648" ht="12.75" customHeight="1">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row>
    <row r="649" ht="12.75" customHeight="1">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row>
    <row r="650" ht="12.75" customHeight="1">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row>
    <row r="651" ht="12.75" customHeight="1">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row>
    <row r="652" ht="12.75" customHeight="1">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row>
    <row r="653" ht="12.75" customHeight="1">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row>
    <row r="654" ht="12.75" customHeight="1">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row>
    <row r="655" ht="12.75" customHeight="1">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row>
    <row r="656" ht="12.75" customHeight="1">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row>
    <row r="657" ht="12.75" customHeight="1">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row>
    <row r="658" ht="12.75" customHeight="1">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row>
    <row r="659" ht="12.75" customHeight="1">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row>
    <row r="660" ht="12.75" customHeight="1">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row>
    <row r="661" ht="12.75" customHeight="1">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row>
    <row r="662" ht="12.75" customHeight="1">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row>
    <row r="663" ht="12.75" customHeight="1">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row>
    <row r="664" ht="12.75" customHeight="1">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row>
    <row r="665" ht="12.75" customHeight="1">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row>
    <row r="666" ht="12.75" customHeight="1">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row>
    <row r="667" ht="12.75" customHeight="1">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row>
    <row r="668" ht="12.75" customHeight="1">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row>
    <row r="669" ht="12.75" customHeight="1">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row>
    <row r="670" ht="12.75" customHeight="1">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row>
    <row r="671" ht="12.75" customHeight="1">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row>
    <row r="672" ht="12.75" customHeight="1">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row>
    <row r="673" ht="12.75" customHeight="1">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row>
    <row r="674" ht="12.75" customHeight="1">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row>
    <row r="675" ht="12.75" customHeight="1">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row>
    <row r="676" ht="12.75" customHeight="1">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row>
    <row r="677" ht="12.75" customHeight="1">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row>
    <row r="678" ht="12.75" customHeight="1">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row>
    <row r="679" ht="12.75" customHeight="1">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row>
    <row r="680" ht="12.75" customHeight="1">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row>
    <row r="681" ht="12.75" customHeight="1">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row>
    <row r="682" ht="12.75" customHeight="1">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row>
    <row r="683" ht="12.75" customHeight="1">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row>
    <row r="684" ht="12.75" customHeight="1">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row>
    <row r="685" ht="12.75" customHeight="1">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row>
    <row r="686" ht="12.75" customHeight="1">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row>
    <row r="687" ht="12.75" customHeight="1">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row>
    <row r="688" ht="12.75" customHeight="1">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row>
    <row r="689" ht="12.75" customHeight="1">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row>
    <row r="690" ht="12.75" customHeight="1">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row>
    <row r="691" ht="12.75" customHeight="1">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row>
    <row r="692" ht="12.75" customHeight="1">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row>
    <row r="693" ht="12.75" customHeight="1">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row>
    <row r="694" ht="12.75" customHeight="1">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row>
    <row r="695" ht="12.75" customHeight="1">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row>
    <row r="696" ht="12.75" customHeight="1">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row>
    <row r="697" ht="12.75" customHeight="1">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row>
    <row r="698" ht="12.75" customHeight="1">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row>
    <row r="699" ht="12.75" customHeight="1">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row>
    <row r="700" ht="12.75" customHeight="1">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row>
    <row r="701" ht="12.75" customHeight="1">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row>
    <row r="702" ht="12.75" customHeight="1">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row>
    <row r="703" ht="12.75" customHeight="1">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row>
    <row r="704" ht="12.75" customHeight="1">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row>
    <row r="705" ht="12.75" customHeight="1">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row>
    <row r="706" ht="12.75" customHeight="1">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row>
    <row r="707" ht="12.75" customHeight="1">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row>
    <row r="708" ht="12.75" customHeight="1">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row>
    <row r="709" ht="12.75" customHeight="1">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row>
    <row r="710" ht="12.75" customHeight="1">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row>
    <row r="711" ht="12.75" customHeight="1">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row>
    <row r="712" ht="12.75" customHeight="1">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row>
    <row r="713" ht="12.75" customHeight="1">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row>
    <row r="714" ht="12.75" customHeight="1">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row>
    <row r="715" ht="12.75" customHeight="1">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row>
    <row r="716" ht="12.75" customHeight="1">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row>
    <row r="717" ht="12.75" customHeight="1">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row>
    <row r="718" ht="12.75" customHeight="1">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row>
    <row r="719" ht="12.75" customHeight="1">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row>
    <row r="720" ht="12.75" customHeight="1">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row>
    <row r="721" ht="12.75" customHeight="1">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row>
    <row r="722" ht="12.75" customHeight="1">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row>
    <row r="723" ht="12.75" customHeight="1">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row>
    <row r="724" ht="12.75" customHeight="1">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row>
    <row r="725" ht="12.75" customHeight="1">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row>
    <row r="726" ht="12.75" customHeight="1">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row>
    <row r="727" ht="12.75" customHeight="1">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row>
    <row r="728" ht="12.75" customHeight="1">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row>
    <row r="729" ht="12.75" customHeight="1">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row>
    <row r="730" ht="12.75" customHeight="1">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row>
    <row r="731" ht="12.75" customHeight="1">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row>
    <row r="732" ht="12.75" customHeight="1">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row>
    <row r="733" ht="12.75" customHeight="1">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row>
    <row r="734" ht="12.75" customHeight="1">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row>
    <row r="735" ht="12.75" customHeight="1">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row>
    <row r="736" ht="12.75" customHeight="1">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row>
    <row r="737" ht="12.75" customHeight="1">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row>
    <row r="738" ht="12.75" customHeight="1">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row>
    <row r="739" ht="12.75" customHeight="1">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row>
    <row r="740" ht="12.75" customHeight="1">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row>
    <row r="741" ht="12.75" customHeight="1">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row>
    <row r="742" ht="12.75" customHeight="1">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row>
    <row r="743" ht="12.75" customHeight="1">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row>
    <row r="744" ht="12.75" customHeight="1">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row>
    <row r="745" ht="12.75" customHeight="1">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row>
    <row r="746" ht="12.75" customHeight="1">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row>
    <row r="747" ht="12.75" customHeight="1">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row>
    <row r="748" ht="12.75" customHeight="1">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row>
    <row r="749" ht="12.75" customHeight="1">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row>
    <row r="750" ht="12.75" customHeight="1">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row>
    <row r="751" ht="12.75" customHeight="1">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row>
    <row r="752" ht="12.75" customHeight="1">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row>
    <row r="753" ht="12.75" customHeight="1">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row>
    <row r="754" ht="12.75" customHeight="1">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row>
    <row r="755" ht="12.75" customHeight="1">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row>
    <row r="756" ht="12.75" customHeight="1">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row>
    <row r="757" ht="12.75" customHeight="1">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row>
    <row r="758" ht="12.75" customHeight="1">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row>
    <row r="759" ht="12.75" customHeight="1">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row>
    <row r="760" ht="12.75" customHeight="1">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row>
    <row r="761" ht="12.75" customHeight="1">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row>
    <row r="762" ht="12.75" customHeight="1">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row>
    <row r="763" ht="12.75" customHeight="1">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row>
    <row r="764" ht="12.75" customHeight="1">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row>
    <row r="765" ht="12.75" customHeight="1">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row>
    <row r="766" ht="12.75" customHeight="1">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row>
    <row r="767" ht="12.75" customHeight="1">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row>
    <row r="768" ht="12.75" customHeight="1">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row>
    <row r="769" ht="12.75" customHeight="1">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row>
    <row r="770" ht="12.75" customHeight="1">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row>
    <row r="771" ht="12.75" customHeight="1">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row>
    <row r="772" ht="12.75" customHeight="1">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row>
    <row r="773" ht="12.75" customHeight="1">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row>
    <row r="774" ht="12.75" customHeight="1">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row>
    <row r="775" ht="12.75" customHeight="1">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row>
    <row r="776" ht="12.75" customHeight="1">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row>
    <row r="777" ht="12.75" customHeight="1">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row>
    <row r="778" ht="12.75" customHeight="1">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row>
    <row r="779" ht="12.75" customHeight="1">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row>
    <row r="780" ht="12.75" customHeight="1">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row>
    <row r="781" ht="12.75" customHeight="1">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row>
    <row r="782" ht="12.75" customHeight="1">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row>
    <row r="783" ht="12.75" customHeight="1">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row>
    <row r="784" ht="12.75" customHeight="1">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row>
    <row r="785" ht="12.75" customHeight="1">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row>
    <row r="786" ht="12.75" customHeight="1">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row>
    <row r="787" ht="12.75" customHeight="1">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row>
    <row r="788" ht="12.75" customHeight="1">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row>
    <row r="789" ht="12.75" customHeight="1">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row>
    <row r="790" ht="12.75" customHeight="1">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row>
    <row r="791" ht="12.75" customHeight="1">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row>
    <row r="792" ht="12.75" customHeight="1">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row>
    <row r="793" ht="12.75" customHeight="1">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row>
    <row r="794" ht="12.75" customHeight="1">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row>
    <row r="795" ht="12.75" customHeight="1">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row>
    <row r="796" ht="12.75" customHeight="1">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row>
    <row r="797" ht="12.75" customHeight="1">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row>
    <row r="798" ht="12.75" customHeight="1">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row>
    <row r="799" ht="12.75" customHeight="1">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row>
    <row r="800" ht="12.75" customHeight="1">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row>
    <row r="801" ht="12.75" customHeight="1">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row>
    <row r="802" ht="12.75" customHeight="1">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row>
    <row r="803" ht="12.75" customHeight="1">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row>
    <row r="804" ht="12.75" customHeight="1">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row>
    <row r="805" ht="12.75" customHeight="1">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row>
    <row r="806" ht="12.75" customHeight="1">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row>
    <row r="807" ht="12.75" customHeight="1">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row>
    <row r="808" ht="12.75" customHeight="1">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row>
    <row r="809" ht="12.75" customHeight="1">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row>
    <row r="810" ht="12.75" customHeight="1">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row>
    <row r="811" ht="12.75" customHeight="1">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row>
    <row r="812" ht="12.75" customHeight="1">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row>
    <row r="813" ht="12.75" customHeight="1">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row>
    <row r="814" ht="12.75" customHeight="1">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row>
    <row r="815" ht="12.75" customHeight="1">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row>
    <row r="816" ht="12.75" customHeight="1">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row>
    <row r="817" ht="12.75" customHeight="1">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row>
    <row r="818" ht="12.75" customHeight="1">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row>
    <row r="819" ht="12.75" customHeight="1">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row>
    <row r="820" ht="12.75" customHeight="1">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row>
    <row r="821" ht="12.75" customHeight="1">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row>
    <row r="822" ht="12.75" customHeight="1">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row>
    <row r="823" ht="12.75" customHeight="1">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row>
    <row r="824" ht="12.75" customHeight="1">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row>
    <row r="825" ht="12.75" customHeight="1">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row>
    <row r="826" ht="12.75" customHeight="1">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row>
    <row r="827" ht="12.75" customHeight="1">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row>
    <row r="828" ht="12.75" customHeight="1">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row>
    <row r="829" ht="12.75" customHeight="1">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row>
    <row r="830" ht="12.75" customHeight="1">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row>
    <row r="831" ht="12.75" customHeight="1">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row>
    <row r="832" ht="12.75" customHeight="1">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row>
    <row r="833" ht="12.75" customHeight="1">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row>
    <row r="834" ht="12.75" customHeight="1">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row>
    <row r="835" ht="12.75" customHeight="1">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row>
    <row r="836" ht="12.75" customHeight="1">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row>
    <row r="837" ht="12.75" customHeight="1">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row>
    <row r="838" ht="12.75" customHeight="1">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row>
    <row r="839" ht="12.75" customHeight="1">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row>
    <row r="840" ht="12.75" customHeight="1">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row>
    <row r="841" ht="12.75" customHeight="1">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row>
    <row r="842" ht="12.75" customHeight="1">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row>
    <row r="843" ht="12.75" customHeight="1">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row>
    <row r="844" ht="12.75" customHeight="1">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row>
    <row r="845" ht="12.75" customHeight="1">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row>
    <row r="846" ht="12.75" customHeight="1">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row>
    <row r="847" ht="12.75" customHeight="1">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row>
    <row r="848" ht="12.75" customHeight="1">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row>
    <row r="849" ht="12.75" customHeight="1">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row>
    <row r="850" ht="12.75" customHeight="1">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row>
    <row r="851" ht="12.75" customHeight="1">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row>
    <row r="852" ht="12.75" customHeight="1">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row>
    <row r="853" ht="12.75" customHeight="1">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row>
    <row r="854" ht="12.75" customHeight="1">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row>
    <row r="855" ht="12.75" customHeight="1">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row>
    <row r="856" ht="12.75" customHeight="1">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row>
    <row r="857" ht="12.75" customHeight="1">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row>
    <row r="858" ht="12.75" customHeight="1">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row>
    <row r="859" ht="12.75" customHeight="1">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row>
    <row r="860" ht="12.75" customHeight="1">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row>
    <row r="861" ht="12.75" customHeight="1">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row>
    <row r="862" ht="12.75" customHeight="1">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row>
    <row r="863" ht="12.75" customHeight="1">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row>
    <row r="864" ht="12.75" customHeight="1">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row>
    <row r="865" ht="12.75" customHeight="1">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row>
    <row r="866" ht="12.75" customHeight="1">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row>
    <row r="867" ht="12.75" customHeight="1">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row>
    <row r="868" ht="12.75" customHeight="1">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row>
    <row r="869" ht="12.75" customHeight="1">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row>
    <row r="870" ht="12.75" customHeight="1">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row>
    <row r="871" ht="12.75" customHeight="1">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row>
    <row r="872" ht="12.75" customHeight="1">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row>
    <row r="873" ht="12.75" customHeight="1">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row>
    <row r="874" ht="12.75" customHeight="1">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row>
    <row r="875" ht="12.75" customHeight="1">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row>
    <row r="876" ht="12.75" customHeight="1">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row>
    <row r="877" ht="12.75" customHeight="1">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row>
    <row r="878" ht="12.75" customHeight="1">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row>
    <row r="879" ht="12.75" customHeight="1">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row>
    <row r="880" ht="12.75" customHeight="1">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row>
    <row r="881" ht="12.75" customHeight="1">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row>
    <row r="882" ht="12.75" customHeight="1">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row>
    <row r="883" ht="12.75" customHeight="1">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row>
    <row r="884" ht="12.75" customHeight="1">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row>
    <row r="885" ht="12.75" customHeight="1">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row>
    <row r="886" ht="12.75" customHeight="1">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row>
    <row r="887" ht="12.75" customHeight="1">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row>
    <row r="888" ht="12.75" customHeight="1">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row>
    <row r="889" ht="12.75" customHeight="1">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row>
    <row r="890" ht="12.75" customHeight="1">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row>
    <row r="891" ht="12.75" customHeight="1">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row>
    <row r="892" ht="12.75" customHeight="1">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row>
    <row r="893" ht="12.75" customHeight="1">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row>
    <row r="894" ht="12.75" customHeight="1">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row>
    <row r="895" ht="12.75" customHeight="1">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row>
    <row r="896" ht="12.75" customHeight="1">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row>
    <row r="897" ht="12.75" customHeight="1">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row>
    <row r="898" ht="12.75" customHeight="1">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row>
    <row r="899" ht="12.75" customHeight="1">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row>
    <row r="900" ht="12.75" customHeight="1">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row>
    <row r="901" ht="12.75" customHeight="1">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row>
    <row r="902" ht="12.75" customHeight="1">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row>
    <row r="903" ht="12.75" customHeight="1">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row>
    <row r="904" ht="12.75" customHeight="1">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row>
    <row r="905" ht="12.75" customHeight="1">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row>
    <row r="906" ht="12.75" customHeight="1">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row>
    <row r="907" ht="12.75" customHeight="1">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row>
    <row r="908" ht="12.75" customHeight="1">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row>
    <row r="909" ht="12.75" customHeight="1">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row>
    <row r="910" ht="12.75" customHeight="1">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row>
    <row r="911" ht="12.75" customHeight="1">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row>
    <row r="912" ht="12.75" customHeight="1">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row>
    <row r="913" ht="12.75" customHeight="1">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row>
    <row r="914" ht="12.75" customHeight="1">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row>
    <row r="915" ht="12.75" customHeight="1">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row>
    <row r="916" ht="12.75" customHeight="1">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row>
    <row r="917" ht="12.75" customHeight="1">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row>
    <row r="918" ht="12.75" customHeight="1">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row>
    <row r="919" ht="12.75" customHeight="1">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row>
    <row r="920" ht="12.75" customHeight="1">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row>
    <row r="921" ht="12.75" customHeight="1">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row>
    <row r="922" ht="12.75" customHeight="1">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row>
    <row r="923" ht="12.75" customHeight="1">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row>
    <row r="924" ht="12.75" customHeight="1">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row>
    <row r="925" ht="12.75" customHeight="1">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row>
    <row r="926" ht="12.75" customHeight="1">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row>
    <row r="927" ht="12.75" customHeight="1">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row>
    <row r="928" ht="12.75" customHeight="1">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row>
    <row r="929" ht="12.75" customHeight="1">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row>
    <row r="930" ht="12.75" customHeight="1">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row>
    <row r="931" ht="12.75" customHeight="1">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row>
    <row r="932" ht="12.75" customHeight="1">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row>
    <row r="933" ht="12.75" customHeight="1">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row>
    <row r="934" ht="12.75" customHeight="1">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row>
    <row r="935" ht="12.75" customHeight="1">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row>
    <row r="936" ht="12.75" customHeight="1">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row>
    <row r="937" ht="12.75" customHeight="1">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row>
    <row r="938" ht="12.75" customHeight="1">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row>
    <row r="939" ht="12.75" customHeight="1">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row>
    <row r="940" ht="12.75" customHeight="1">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row>
    <row r="941" ht="12.75" customHeight="1">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row>
    <row r="942" ht="12.75" customHeight="1">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row>
    <row r="943" ht="12.75" customHeight="1">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row>
    <row r="944" ht="12.75" customHeight="1">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row>
    <row r="945" ht="12.75" customHeight="1">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row>
    <row r="946" ht="12.75" customHeight="1">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row>
    <row r="947" ht="12.75" customHeight="1">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row>
    <row r="948" ht="12.75" customHeight="1">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row>
    <row r="949" ht="12.75" customHeight="1">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row>
    <row r="950" ht="12.75" customHeight="1">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row>
    <row r="951" ht="12.75" customHeight="1">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row>
    <row r="952" ht="12.75" customHeight="1">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row>
    <row r="953" ht="12.75" customHeight="1">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row>
    <row r="954" ht="12.75" customHeight="1">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row>
    <row r="955" ht="12.75" customHeight="1">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row>
    <row r="956" ht="12.75" customHeight="1">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row>
    <row r="957" ht="12.75" customHeight="1">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row>
    <row r="958" ht="12.75" customHeight="1">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row>
    <row r="959" ht="12.75" customHeight="1">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row>
    <row r="960" ht="12.75" customHeight="1">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row>
    <row r="961" ht="12.75" customHeight="1">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row>
    <row r="962" ht="12.75" customHeight="1">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row>
    <row r="963" ht="12.75" customHeight="1">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row>
    <row r="964" ht="12.75" customHeight="1">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row>
    <row r="965" ht="12.75" customHeight="1">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row>
    <row r="966" ht="12.75" customHeight="1">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row>
    <row r="967" ht="12.75" customHeight="1">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row>
    <row r="968" ht="12.75" customHeight="1">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row>
    <row r="969" ht="12.75" customHeight="1">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row>
    <row r="970" ht="12.75" customHeight="1">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row>
    <row r="971" ht="12.75" customHeight="1">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row>
    <row r="972" ht="12.75" customHeight="1">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row>
    <row r="973" ht="12.75" customHeight="1">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row>
    <row r="974" ht="12.75" customHeight="1">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row>
    <row r="975" ht="12.75" customHeight="1">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row>
    <row r="976" ht="12.75" customHeight="1">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row>
    <row r="977" ht="12.75" customHeight="1">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row>
    <row r="978" ht="12.75" customHeight="1">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row>
    <row r="979" ht="12.75" customHeight="1">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row>
    <row r="980" ht="12.75" customHeight="1">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row>
    <row r="981" ht="12.75" customHeight="1">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row>
    <row r="982" ht="12.75" customHeight="1">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row>
    <row r="983" ht="12.75" customHeight="1">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row>
    <row r="984" ht="12.75" customHeight="1">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row>
    <row r="985" ht="12.75" customHeight="1">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row>
    <row r="986" ht="12.75" customHeight="1">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row>
    <row r="987" ht="12.75" customHeight="1">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row>
    <row r="988" ht="12.75" customHeight="1">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row>
    <row r="989" ht="12.75" customHeight="1">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row>
    <row r="990" ht="12.75" customHeight="1">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row>
    <row r="991" ht="12.75" customHeight="1">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row>
    <row r="992" ht="12.75" customHeight="1">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row>
    <row r="993" ht="12.75" customHeight="1">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row>
    <row r="994" ht="12.75" customHeight="1">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row>
    <row r="995" ht="12.75" customHeight="1">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row>
    <row r="996" ht="12.75" customHeight="1">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row>
    <row r="997" ht="12.75" customHeight="1">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row>
    <row r="998" ht="12.75" customHeight="1">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row>
    <row r="999" ht="12.75" customHeight="1">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row>
    <row r="1000" ht="12.75" customHeight="1">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row>
  </sheetData>
  <mergeCells count="14">
    <mergeCell ref="H35:L35"/>
    <mergeCell ref="M35:M45"/>
    <mergeCell ref="H37:K37"/>
    <mergeCell ref="H38:K38"/>
    <mergeCell ref="H39:K39"/>
    <mergeCell ref="H40:K40"/>
    <mergeCell ref="H41:L47"/>
    <mergeCell ref="A1:J1"/>
    <mergeCell ref="D3:E3"/>
    <mergeCell ref="H3:M7"/>
    <mergeCell ref="K9:L9"/>
    <mergeCell ref="H19:J19"/>
    <mergeCell ref="H21:L21"/>
    <mergeCell ref="J22:K22"/>
  </mergeCells>
  <printOptions horizontalCentered="1" verticalCentered="1"/>
  <pageMargins bottom="0.25" footer="0.0" header="0.0" left="0.75" right="0.5" top="0.25"/>
  <pageSetup paperSize="5" scale="76" orientation="landscape"/>
  <headerFooter>
    <oddFooter>&amp;LRev.5/24 Arizona Department of Education and Auditor General&amp;RBudget Summary</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75"/>
    <col customWidth="1" min="2" max="2" width="107.25"/>
    <col customWidth="1" min="3" max="5" width="15.63"/>
    <col customWidth="1" min="6" max="6" width="19.13"/>
    <col customWidth="1" min="7" max="7" width="15.63"/>
    <col customWidth="1" min="8" max="8" width="17.63"/>
    <col customWidth="1" min="9" max="9" width="10.13"/>
    <col customWidth="1" min="10" max="38" width="8.0"/>
  </cols>
  <sheetData>
    <row r="1" ht="12.75" customHeight="1">
      <c r="A1" s="24" t="s">
        <v>0</v>
      </c>
      <c r="B1" s="64" t="str">
        <f>CharterName</f>
        <v>Western School of Science and Technology</v>
      </c>
      <c r="C1" s="265"/>
      <c r="D1" s="17" t="s">
        <v>2</v>
      </c>
      <c r="E1" s="64" t="str">
        <f>Cover!M1</f>
        <v>Maricopa</v>
      </c>
      <c r="F1" s="265"/>
      <c r="G1" s="17" t="s">
        <v>4</v>
      </c>
      <c r="H1" s="5" t="str">
        <f>CTD</f>
        <v>078221000</v>
      </c>
      <c r="I1" s="265"/>
      <c r="K1" s="265"/>
      <c r="L1" s="265"/>
      <c r="M1" s="30"/>
      <c r="N1" s="10"/>
      <c r="O1" s="265"/>
      <c r="P1" s="265"/>
      <c r="Q1" s="265"/>
      <c r="R1" s="266"/>
      <c r="S1" s="266"/>
      <c r="T1" s="266"/>
      <c r="U1" s="266"/>
      <c r="V1" s="267"/>
      <c r="W1" s="267"/>
      <c r="X1" s="267"/>
      <c r="Y1" s="267"/>
      <c r="Z1" s="267"/>
      <c r="AA1" s="267"/>
      <c r="AB1" s="267"/>
      <c r="AC1" s="267"/>
      <c r="AD1" s="71"/>
      <c r="AE1" s="71"/>
      <c r="AF1" s="71"/>
      <c r="AG1" s="71"/>
      <c r="AH1" s="71"/>
      <c r="AI1" s="71"/>
      <c r="AJ1" s="266"/>
      <c r="AK1" s="266"/>
      <c r="AL1" s="266"/>
    </row>
    <row r="2" ht="12.75" customHeight="1">
      <c r="A2" s="265"/>
      <c r="B2" s="268"/>
      <c r="C2" s="10"/>
      <c r="D2" s="10"/>
      <c r="E2" s="10"/>
      <c r="F2" s="265"/>
      <c r="G2" s="268"/>
      <c r="H2" s="10"/>
      <c r="I2" s="10"/>
      <c r="J2" s="269"/>
      <c r="K2" s="268"/>
      <c r="L2" s="10"/>
      <c r="M2" s="10"/>
      <c r="N2" s="10"/>
      <c r="O2" s="270"/>
      <c r="P2" s="270"/>
      <c r="Q2" s="265"/>
      <c r="R2" s="266"/>
      <c r="S2" s="266"/>
      <c r="T2" s="266"/>
      <c r="U2" s="266"/>
      <c r="V2" s="267"/>
      <c r="W2" s="267"/>
      <c r="X2" s="267"/>
      <c r="Y2" s="267"/>
      <c r="Z2" s="267"/>
      <c r="AA2" s="267"/>
      <c r="AB2" s="267"/>
      <c r="AC2" s="267"/>
      <c r="AD2" s="71"/>
      <c r="AE2" s="71"/>
      <c r="AF2" s="71"/>
      <c r="AG2" s="71"/>
      <c r="AH2" s="71"/>
      <c r="AI2" s="71"/>
      <c r="AJ2" s="266"/>
      <c r="AK2" s="266"/>
      <c r="AL2" s="266"/>
    </row>
    <row r="3" ht="25.5" customHeight="1">
      <c r="A3" s="271" t="s">
        <v>353</v>
      </c>
      <c r="I3" s="39"/>
      <c r="J3" s="272"/>
      <c r="K3" s="268"/>
      <c r="L3" s="273"/>
      <c r="M3" s="39"/>
      <c r="N3" s="39"/>
      <c r="O3" s="39"/>
      <c r="P3" s="39"/>
      <c r="Q3" s="274"/>
      <c r="R3" s="71"/>
      <c r="S3" s="71"/>
      <c r="T3" s="71"/>
      <c r="U3" s="71"/>
      <c r="V3" s="71"/>
      <c r="W3" s="71"/>
      <c r="X3" s="71"/>
      <c r="Y3" s="71"/>
      <c r="Z3" s="71"/>
      <c r="AA3" s="71"/>
      <c r="AB3" s="71"/>
      <c r="AC3" s="71"/>
      <c r="AD3" s="71"/>
      <c r="AE3" s="71"/>
      <c r="AF3" s="71"/>
      <c r="AG3" s="275"/>
      <c r="AH3" s="71"/>
      <c r="AI3" s="71"/>
      <c r="AJ3" s="71"/>
      <c r="AK3" s="71"/>
      <c r="AL3" s="71"/>
    </row>
    <row r="4" ht="16.5" customHeight="1">
      <c r="A4" s="276"/>
      <c r="B4" s="276"/>
      <c r="C4" s="276"/>
      <c r="D4" s="276"/>
      <c r="E4" s="276"/>
      <c r="F4" s="276"/>
      <c r="G4" s="276"/>
      <c r="H4" s="276"/>
      <c r="I4" s="39"/>
      <c r="J4" s="272"/>
      <c r="K4" s="268"/>
      <c r="L4" s="273"/>
      <c r="M4" s="39"/>
      <c r="N4" s="39"/>
      <c r="O4" s="39"/>
      <c r="P4" s="39"/>
      <c r="Q4" s="274"/>
      <c r="R4" s="71"/>
      <c r="S4" s="71"/>
      <c r="T4" s="71"/>
      <c r="U4" s="71"/>
      <c r="V4" s="71"/>
      <c r="W4" s="71"/>
      <c r="X4" s="71"/>
      <c r="Y4" s="71"/>
      <c r="Z4" s="71"/>
      <c r="AA4" s="71"/>
      <c r="AB4" s="71"/>
      <c r="AC4" s="71"/>
      <c r="AD4" s="71"/>
      <c r="AE4" s="71"/>
      <c r="AF4" s="71"/>
      <c r="AG4" s="275"/>
      <c r="AH4" s="71"/>
      <c r="AI4" s="71"/>
      <c r="AJ4" s="71"/>
      <c r="AK4" s="71"/>
      <c r="AL4" s="71"/>
    </row>
    <row r="5" ht="12.75" customHeight="1">
      <c r="A5" s="50" t="s">
        <v>354</v>
      </c>
      <c r="C5" s="39"/>
    </row>
    <row r="6" ht="12.75" customHeight="1">
      <c r="A6" s="39"/>
      <c r="B6" s="39"/>
      <c r="C6" s="277" t="s">
        <v>355</v>
      </c>
      <c r="R6" s="53" t="s">
        <v>356</v>
      </c>
    </row>
    <row r="7" ht="8.25" customHeight="1">
      <c r="A7" s="278"/>
      <c r="B7" s="39"/>
      <c r="C7" s="52"/>
    </row>
    <row r="8" ht="12.75" customHeight="1">
      <c r="A8" s="279" t="s">
        <v>9</v>
      </c>
      <c r="B8" s="86" t="s">
        <v>357</v>
      </c>
      <c r="C8" s="280">
        <v>2931198.0</v>
      </c>
    </row>
    <row r="9" ht="15.0" customHeight="1">
      <c r="A9" s="281"/>
      <c r="B9" s="273" t="s">
        <v>358</v>
      </c>
      <c r="C9" s="282"/>
    </row>
    <row r="10" ht="12.75" customHeight="1">
      <c r="A10" s="30"/>
      <c r="B10" s="39"/>
      <c r="C10" s="52"/>
    </row>
    <row r="11" ht="12.75" customHeight="1">
      <c r="A11" s="279" t="s">
        <v>13</v>
      </c>
      <c r="B11" s="278" t="s">
        <v>359</v>
      </c>
      <c r="C11" s="39"/>
    </row>
    <row r="12" ht="12.75" customHeight="1">
      <c r="A12" s="17"/>
      <c r="B12" s="86" t="s">
        <v>360</v>
      </c>
      <c r="C12" s="280">
        <v>7000000.0</v>
      </c>
    </row>
    <row r="13" ht="12.75" customHeight="1">
      <c r="A13" s="17"/>
      <c r="B13" s="86" t="s">
        <v>361</v>
      </c>
      <c r="C13" s="280">
        <v>6900000.0</v>
      </c>
    </row>
    <row r="14" ht="12.75" customHeight="1">
      <c r="A14" s="17"/>
      <c r="B14" s="273"/>
      <c r="C14" s="283"/>
    </row>
    <row r="15" ht="12.75" customHeight="1">
      <c r="A15" s="279" t="s">
        <v>244</v>
      </c>
      <c r="B15" s="278" t="s">
        <v>362</v>
      </c>
      <c r="C15" s="280">
        <f>C8+C12-C13</f>
        <v>3031198</v>
      </c>
    </row>
    <row r="16" ht="12.75" customHeight="1">
      <c r="A16" s="284"/>
      <c r="B16" s="86" t="s">
        <v>363</v>
      </c>
      <c r="C16" s="280">
        <v>35000.0</v>
      </c>
    </row>
    <row r="17" ht="12.75" customHeight="1">
      <c r="A17" s="284"/>
      <c r="B17" s="86" t="s">
        <v>364</v>
      </c>
      <c r="C17" s="280">
        <f>3031198-35000</f>
        <v>2996198</v>
      </c>
    </row>
    <row r="18" ht="12.75" customHeight="1">
      <c r="A18" s="284"/>
      <c r="B18" s="24" t="s">
        <v>365</v>
      </c>
      <c r="C18" s="280">
        <f>C16+C17</f>
        <v>3031198</v>
      </c>
    </row>
    <row r="19" ht="12.75" customHeight="1">
      <c r="A19" s="17"/>
      <c r="B19" s="278"/>
      <c r="C19" s="272"/>
    </row>
    <row r="20" ht="12.75" customHeight="1">
      <c r="A20" s="279" t="s">
        <v>247</v>
      </c>
      <c r="B20" s="278" t="s">
        <v>366</v>
      </c>
      <c r="C20" s="272"/>
    </row>
    <row r="21" ht="12.75" customHeight="1">
      <c r="A21" s="17"/>
      <c r="B21" s="86" t="s">
        <v>367</v>
      </c>
      <c r="C21" s="280">
        <v>0.0</v>
      </c>
    </row>
    <row r="22" ht="12.75" customHeight="1">
      <c r="A22" s="17"/>
      <c r="B22" s="86" t="s">
        <v>368</v>
      </c>
      <c r="C22" s="280">
        <v>0.0</v>
      </c>
    </row>
    <row r="23" ht="12.75" customHeight="1">
      <c r="A23" s="17"/>
      <c r="B23" s="86" t="s">
        <v>369</v>
      </c>
      <c r="C23" s="280">
        <v>0.0</v>
      </c>
    </row>
    <row r="24" ht="12.75" customHeight="1">
      <c r="A24" s="17"/>
      <c r="B24" s="86" t="s">
        <v>370</v>
      </c>
      <c r="C24" s="280">
        <v>3031198.0</v>
      </c>
    </row>
    <row r="25" ht="12.75" customHeight="1">
      <c r="A25" s="17"/>
      <c r="B25" s="39" t="s">
        <v>371</v>
      </c>
      <c r="C25" s="280">
        <f>SUM(C21:C24)</f>
        <v>3031198</v>
      </c>
    </row>
    <row r="26" ht="12.75" customHeight="1">
      <c r="A26" s="284"/>
      <c r="B26" s="39"/>
    </row>
    <row r="27" ht="12.75" customHeight="1">
      <c r="A27" s="284"/>
      <c r="B27" s="39"/>
      <c r="C27" s="39"/>
    </row>
    <row r="28" ht="14.25" customHeight="1">
      <c r="A28" s="279" t="s">
        <v>250</v>
      </c>
      <c r="B28" s="86" t="s">
        <v>372</v>
      </c>
      <c r="C28" s="39"/>
      <c r="D28" s="83"/>
      <c r="E28" s="83"/>
      <c r="F28" s="83"/>
      <c r="G28" s="83"/>
      <c r="H28" s="83"/>
    </row>
    <row r="29" ht="12.75" customHeight="1">
      <c r="A29" s="285" t="s">
        <v>373</v>
      </c>
      <c r="B29" s="9"/>
      <c r="C29" s="57"/>
    </row>
    <row r="30" ht="12.75" customHeight="1">
      <c r="A30" s="59"/>
      <c r="C30" s="28"/>
    </row>
    <row r="31" ht="12.75" customHeight="1">
      <c r="A31" s="59"/>
      <c r="C31" s="28"/>
    </row>
    <row r="32" ht="12.75" customHeight="1">
      <c r="A32" s="59"/>
      <c r="C32" s="28"/>
    </row>
    <row r="33" ht="12.75" customHeight="1">
      <c r="A33" s="59"/>
      <c r="C33" s="28"/>
    </row>
    <row r="34" ht="12.75" customHeight="1">
      <c r="A34" s="59"/>
      <c r="C34" s="28"/>
    </row>
    <row r="35" ht="12.75" customHeight="1">
      <c r="A35" s="61"/>
      <c r="B35" s="3"/>
      <c r="C35" s="62"/>
    </row>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3:H3"/>
    <mergeCell ref="A5:B5"/>
    <mergeCell ref="A29:C35"/>
  </mergeCells>
  <conditionalFormatting sqref="A29">
    <cfRule type="containsBlanks" dxfId="2" priority="1">
      <formula>LEN(TRIM(A29))=0</formula>
    </cfRule>
  </conditionalFormatting>
  <conditionalFormatting sqref="C8">
    <cfRule type="containsBlanks" dxfId="2" priority="2">
      <formula>LEN(TRIM(C8))=0</formula>
    </cfRule>
  </conditionalFormatting>
  <conditionalFormatting sqref="C12:C13">
    <cfRule type="containsBlanks" dxfId="2" priority="3">
      <formula>LEN(TRIM(C12))=0</formula>
    </cfRule>
  </conditionalFormatting>
  <conditionalFormatting sqref="C16:C17">
    <cfRule type="containsBlanks" dxfId="2" priority="4">
      <formula>LEN(TRIM(C16))=0</formula>
    </cfRule>
  </conditionalFormatting>
  <conditionalFormatting sqref="C21:C24">
    <cfRule type="containsBlanks" dxfId="2" priority="5">
      <formula>LEN(TRIM(C21))=0</formula>
    </cfRule>
  </conditionalFormatting>
  <hyperlinks>
    <hyperlink display="FY 2023 final ending project balance" location="ProjectBalancesLine1" ref="B8"/>
    <hyperlink display="(a) FY 2024 revenues" location="ProjectBalancesLine2a" ref="B12"/>
    <hyperlink display="(b) FY 2024 expenses, indirect costs, reversions, capital acquisitions, and redemption of principal" location="ProjectBalancesLine2b" ref="B13"/>
    <hyperlink display="(a) With donor restrictions/Restricted" location="ProjectBalancesLine3a" ref="B16"/>
    <hyperlink display="(b) Without donor restrictions/Unrestricted" location="ProjectBalancesLine3b" ref="B17"/>
    <hyperlink display="(a) Deficit balance" location="ProjectBalancesLine4a" ref="B21"/>
    <hyperlink display="(b) Planned to be spent in FY 2025 " location="ProjectBalancesLine4b" ref="B22"/>
    <hyperlink display="(c) Planned to be spent in FY 2025 to support operations of other school sites within the same charter management organization" location="ProjectBalancesLine4c" ref="B23"/>
    <hyperlink display="(d) Maintained for spending after FY 2025" location="ProjectBalancesLine4d" ref="B24"/>
    <hyperlink display="Comments (optional)" location="ProjectBalancesLine5" ref="B28"/>
  </hyperlink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2" width="3.38"/>
    <col customWidth="1" min="3" max="3" width="5.38"/>
    <col customWidth="1" min="4" max="4" width="6.38"/>
    <col customWidth="1" min="5" max="5" width="31.0"/>
    <col customWidth="1" min="6" max="6" width="1.63"/>
    <col customWidth="1" min="7" max="7" width="12.63"/>
    <col customWidth="1" min="8" max="8" width="1.63"/>
    <col customWidth="1" min="9" max="10" width="12.63"/>
    <col customWidth="1" min="11" max="11" width="1.63"/>
    <col customWidth="1" min="12" max="12" width="10.63"/>
    <col customWidth="1" min="13" max="15" width="12.63"/>
    <col customWidth="1" min="16" max="19" width="10.63"/>
    <col customWidth="1" min="20" max="29" width="9.0"/>
  </cols>
  <sheetData>
    <row r="1" ht="12.75" customHeight="1">
      <c r="A1" s="24" t="s">
        <v>0</v>
      </c>
      <c r="B1" s="39"/>
      <c r="C1" s="39"/>
      <c r="D1" s="39"/>
      <c r="E1" s="64" t="str">
        <f>CharterName</f>
        <v>Western School of Science and Technology</v>
      </c>
      <c r="F1" s="30"/>
      <c r="G1" s="30"/>
      <c r="I1" s="30"/>
      <c r="K1" s="17" t="s">
        <v>2</v>
      </c>
      <c r="L1" s="64" t="str">
        <f>Cover!M1</f>
        <v>Maricopa</v>
      </c>
      <c r="M1" s="31"/>
      <c r="N1" s="10"/>
      <c r="O1" s="17" t="s">
        <v>4</v>
      </c>
      <c r="P1" s="5" t="str">
        <f>CTD</f>
        <v>078221000</v>
      </c>
    </row>
    <row r="2" ht="24.75" customHeight="1"/>
    <row r="3" ht="12.75" customHeight="1"/>
    <row r="4" ht="12.75" customHeight="1">
      <c r="A4" s="286" t="s">
        <v>374</v>
      </c>
      <c r="C4" s="287"/>
      <c r="D4" s="4"/>
      <c r="E4" s="50"/>
      <c r="F4" s="50"/>
      <c r="Q4" s="4"/>
    </row>
    <row r="5" ht="12.75" customHeight="1"/>
    <row r="6" ht="114.0" customHeight="1">
      <c r="A6" s="288" t="str">
        <f>IF(B8="X","X",IF(B9="x","x",IF(B10="X","X",IF(B11="X","X",""))))</f>
        <v/>
      </c>
      <c r="B6" s="289" t="s">
        <v>375</v>
      </c>
      <c r="C6" s="22"/>
      <c r="D6" s="22"/>
      <c r="E6" s="22"/>
      <c r="F6" s="22"/>
      <c r="G6" s="22"/>
      <c r="H6" s="22"/>
      <c r="I6" s="22"/>
      <c r="J6" s="22"/>
      <c r="K6" s="22"/>
      <c r="L6" s="22"/>
      <c r="M6" s="22"/>
      <c r="N6" s="23"/>
      <c r="O6" s="51"/>
      <c r="P6" s="51"/>
      <c r="Q6" s="51"/>
      <c r="R6" s="51"/>
      <c r="S6" s="51"/>
      <c r="T6" s="51"/>
      <c r="U6" s="51"/>
      <c r="V6" s="51"/>
      <c r="W6" s="51"/>
      <c r="X6" s="51"/>
      <c r="Y6" s="51"/>
      <c r="Z6" s="51"/>
      <c r="AA6" s="51"/>
      <c r="AB6" s="51"/>
      <c r="AC6" s="51"/>
    </row>
    <row r="7" ht="12.75" customHeight="1">
      <c r="J7" s="71"/>
      <c r="K7" s="71"/>
      <c r="L7" s="71"/>
      <c r="M7" s="251" t="s">
        <v>376</v>
      </c>
      <c r="N7" s="70"/>
    </row>
    <row r="8" ht="38.25" customHeight="1">
      <c r="A8" s="4"/>
      <c r="B8" s="290"/>
      <c r="D8" s="291" t="s">
        <v>377</v>
      </c>
      <c r="E8" s="34"/>
      <c r="F8" s="34"/>
      <c r="G8" s="34"/>
      <c r="H8" s="34"/>
      <c r="I8" s="70"/>
      <c r="J8" s="291" t="str">
        <f>IF(B8&lt;&gt;"x","No additional information required","Please enter the name of the management company.")</f>
        <v>No additional information required</v>
      </c>
      <c r="K8" s="34"/>
      <c r="L8" s="70"/>
      <c r="M8" s="292"/>
      <c r="N8" s="70"/>
      <c r="O8" s="42"/>
      <c r="Q8" s="53" t="s">
        <v>378</v>
      </c>
    </row>
    <row r="9" ht="39.0" customHeight="1">
      <c r="A9" s="4"/>
      <c r="B9" s="293"/>
      <c r="D9" s="291" t="s">
        <v>379</v>
      </c>
      <c r="E9" s="34"/>
      <c r="F9" s="34"/>
      <c r="G9" s="34"/>
      <c r="H9" s="34"/>
      <c r="I9" s="70"/>
      <c r="J9" s="291" t="str">
        <f>IF(B9&lt;&gt;"x","No additional information required","Please enter the name of any other charter holder with identical membership.")</f>
        <v>No additional information required</v>
      </c>
      <c r="K9" s="34"/>
      <c r="L9" s="70"/>
      <c r="M9" s="292"/>
      <c r="N9" s="70"/>
      <c r="O9" s="42"/>
      <c r="Q9" s="53" t="s">
        <v>356</v>
      </c>
    </row>
    <row r="10" ht="27.75" customHeight="1">
      <c r="A10" s="4"/>
      <c r="B10" s="294"/>
      <c r="D10" s="291" t="s">
        <v>380</v>
      </c>
      <c r="E10" s="34"/>
      <c r="F10" s="34"/>
      <c r="G10" s="34"/>
      <c r="H10" s="34"/>
      <c r="I10" s="70"/>
      <c r="J10" s="291" t="str">
        <f>IF(B10&lt;&gt;"x","No additional information required","Please enter the name of the corporation.")</f>
        <v>No additional information required</v>
      </c>
      <c r="K10" s="34"/>
      <c r="L10" s="70"/>
      <c r="M10" s="292"/>
      <c r="N10" s="70"/>
      <c r="O10" s="42"/>
      <c r="Q10" s="53"/>
    </row>
    <row r="11" ht="27.75" customHeight="1">
      <c r="A11" s="4"/>
      <c r="B11" s="294"/>
      <c r="D11" s="295" t="s">
        <v>381</v>
      </c>
      <c r="E11" s="34"/>
      <c r="F11" s="34"/>
      <c r="G11" s="34"/>
      <c r="H11" s="34"/>
      <c r="I11" s="70"/>
      <c r="M11" s="10"/>
      <c r="N11" s="10"/>
      <c r="O11" s="10"/>
    </row>
    <row r="12" ht="12.75" customHeight="1">
      <c r="A12" s="4"/>
      <c r="B12" s="4"/>
      <c r="C12" s="10"/>
      <c r="D12" s="10"/>
      <c r="E12" s="10"/>
      <c r="F12" s="10"/>
      <c r="G12" s="10"/>
      <c r="H12" s="10"/>
      <c r="I12" s="10"/>
      <c r="J12" s="10"/>
      <c r="K12" s="10"/>
      <c r="L12" s="10"/>
      <c r="M12" s="10"/>
      <c r="N12" s="10"/>
      <c r="O12" s="10"/>
    </row>
    <row r="13" ht="12.75" customHeight="1">
      <c r="B13" s="50" t="s">
        <v>382</v>
      </c>
      <c r="C13" s="50"/>
      <c r="D13" s="50"/>
      <c r="E13" s="50"/>
    </row>
    <row r="14" ht="80.25" customHeight="1">
      <c r="B14" s="289" t="s">
        <v>383</v>
      </c>
      <c r="C14" s="22"/>
      <c r="D14" s="22"/>
      <c r="E14" s="22"/>
      <c r="F14" s="22"/>
      <c r="G14" s="22"/>
      <c r="H14" s="22"/>
      <c r="I14" s="22"/>
      <c r="J14" s="22"/>
      <c r="K14" s="22"/>
      <c r="L14" s="22"/>
      <c r="M14" s="22"/>
      <c r="N14" s="23"/>
    </row>
    <row r="15" ht="13.5" customHeight="1">
      <c r="B15" s="41"/>
      <c r="C15" s="41"/>
      <c r="D15" s="41"/>
      <c r="E15" s="41"/>
      <c r="F15" s="41"/>
      <c r="G15" s="41"/>
      <c r="H15" s="41"/>
      <c r="I15" s="41"/>
      <c r="J15" s="41"/>
      <c r="K15" s="41"/>
      <c r="L15" s="41"/>
      <c r="M15" s="41"/>
      <c r="N15" s="41"/>
    </row>
    <row r="16" ht="12.75" customHeight="1">
      <c r="B16" s="77" t="s">
        <v>384</v>
      </c>
      <c r="C16" s="34"/>
      <c r="D16" s="34"/>
      <c r="E16" s="70"/>
      <c r="F16" s="69" t="s">
        <v>385</v>
      </c>
      <c r="G16" s="70"/>
      <c r="H16" s="69" t="s">
        <v>386</v>
      </c>
      <c r="I16" s="34"/>
      <c r="J16" s="70"/>
      <c r="K16" s="296" t="s">
        <v>387</v>
      </c>
      <c r="L16" s="34"/>
      <c r="M16" s="70"/>
    </row>
    <row r="17" ht="12.75" customHeight="1">
      <c r="B17" s="187" t="s">
        <v>388</v>
      </c>
      <c r="C17" s="3"/>
      <c r="D17" s="3"/>
      <c r="E17" s="62"/>
      <c r="F17" s="297"/>
      <c r="G17" s="62"/>
      <c r="H17" s="298"/>
      <c r="I17" s="299">
        <v>140.0</v>
      </c>
      <c r="J17" s="62"/>
      <c r="K17" s="189"/>
      <c r="L17" s="299">
        <f>520-140</f>
        <v>380</v>
      </c>
      <c r="M17" s="62"/>
      <c r="N17" s="71"/>
    </row>
    <row r="18" ht="12.75" customHeight="1">
      <c r="B18" s="74" t="s">
        <v>389</v>
      </c>
      <c r="C18" s="34"/>
      <c r="D18" s="34"/>
      <c r="E18" s="70"/>
      <c r="F18" s="300"/>
      <c r="G18" s="301"/>
      <c r="H18" s="302" t="s">
        <v>390</v>
      </c>
      <c r="I18" s="303"/>
      <c r="J18" s="70"/>
      <c r="K18" s="69" t="s">
        <v>390</v>
      </c>
      <c r="L18" s="304"/>
      <c r="M18" s="70"/>
      <c r="N18" s="71"/>
    </row>
    <row r="19" ht="12.75" customHeight="1">
      <c r="B19" s="74" t="s">
        <v>391</v>
      </c>
      <c r="C19" s="34"/>
      <c r="D19" s="34"/>
      <c r="E19" s="70"/>
      <c r="F19" s="300"/>
      <c r="G19" s="301"/>
      <c r="H19" s="302" t="s">
        <v>390</v>
      </c>
      <c r="I19" s="303"/>
      <c r="J19" s="70"/>
      <c r="K19" s="69" t="s">
        <v>390</v>
      </c>
      <c r="L19" s="304"/>
      <c r="M19" s="70"/>
    </row>
    <row r="20" ht="12.75" customHeight="1">
      <c r="B20" s="305" t="s">
        <v>392</v>
      </c>
      <c r="C20" s="34"/>
      <c r="D20" s="34"/>
      <c r="E20" s="70"/>
      <c r="F20" s="77" t="s">
        <v>393</v>
      </c>
      <c r="G20" s="306" t="str">
        <f>F17</f>
        <v/>
      </c>
      <c r="H20" s="187" t="s">
        <v>393</v>
      </c>
      <c r="I20" s="303">
        <f>I17+I18+I19</f>
        <v>140</v>
      </c>
      <c r="J20" s="70"/>
      <c r="K20" s="77" t="s">
        <v>393</v>
      </c>
      <c r="L20" s="303">
        <f>L17+L18+L19</f>
        <v>380</v>
      </c>
      <c r="M20" s="70"/>
    </row>
    <row r="21" ht="12.75" customHeight="1"/>
    <row r="22" ht="12.75" customHeight="1">
      <c r="B22" s="50" t="s">
        <v>394</v>
      </c>
    </row>
    <row r="23" ht="26.25" customHeight="1">
      <c r="B23" s="289" t="s">
        <v>395</v>
      </c>
      <c r="C23" s="22"/>
      <c r="D23" s="22"/>
      <c r="E23" s="22"/>
      <c r="F23" s="22"/>
      <c r="G23" s="22"/>
      <c r="H23" s="22"/>
      <c r="I23" s="22"/>
      <c r="J23" s="22"/>
      <c r="K23" s="22"/>
      <c r="L23" s="22"/>
      <c r="M23" s="22"/>
      <c r="N23" s="23"/>
    </row>
    <row r="24" ht="12.75" customHeight="1">
      <c r="B24" s="7"/>
      <c r="C24" s="307"/>
      <c r="D24" s="307"/>
      <c r="E24" s="307"/>
      <c r="F24" s="307"/>
      <c r="G24" s="307"/>
      <c r="H24" s="307"/>
      <c r="I24" s="307"/>
      <c r="J24" s="307"/>
      <c r="K24" s="307"/>
      <c r="L24" s="307"/>
      <c r="M24" s="307"/>
    </row>
    <row r="25" ht="12.75" customHeight="1">
      <c r="B25" s="73" t="s">
        <v>384</v>
      </c>
      <c r="C25" s="73"/>
      <c r="D25" s="73"/>
      <c r="E25" s="73"/>
      <c r="F25" s="69" t="s">
        <v>385</v>
      </c>
      <c r="G25" s="70"/>
      <c r="H25" s="69" t="s">
        <v>386</v>
      </c>
      <c r="I25" s="34"/>
      <c r="J25" s="70"/>
      <c r="K25" s="296" t="s">
        <v>387</v>
      </c>
      <c r="L25" s="34"/>
      <c r="M25" s="70"/>
    </row>
    <row r="26" ht="12.75" customHeight="1">
      <c r="B26" s="187" t="s">
        <v>388</v>
      </c>
      <c r="C26" s="11"/>
      <c r="D26" s="188"/>
      <c r="F26" s="58"/>
      <c r="G26" s="308"/>
      <c r="I26" s="309"/>
      <c r="J26" s="62"/>
      <c r="K26" s="187"/>
      <c r="L26" s="309"/>
      <c r="M26" s="62"/>
      <c r="P26" s="30"/>
    </row>
    <row r="27" ht="12.75" customHeight="1">
      <c r="B27" s="77" t="s">
        <v>389</v>
      </c>
      <c r="C27" s="130"/>
      <c r="D27" s="82"/>
      <c r="E27" s="310"/>
      <c r="F27" s="311"/>
      <c r="G27" s="312"/>
      <c r="H27" s="130" t="s">
        <v>390</v>
      </c>
      <c r="I27" s="303"/>
      <c r="J27" s="70"/>
      <c r="K27" s="77" t="s">
        <v>390</v>
      </c>
      <c r="L27" s="304"/>
      <c r="M27" s="70"/>
    </row>
    <row r="28" ht="12.75" customHeight="1">
      <c r="B28" s="77" t="s">
        <v>391</v>
      </c>
      <c r="C28" s="130"/>
      <c r="D28" s="130"/>
      <c r="E28" s="313"/>
      <c r="F28" s="311"/>
      <c r="G28" s="312"/>
      <c r="H28" s="130" t="s">
        <v>390</v>
      </c>
      <c r="I28" s="303"/>
      <c r="J28" s="70"/>
      <c r="K28" s="77" t="s">
        <v>390</v>
      </c>
      <c r="L28" s="304"/>
      <c r="M28" s="70"/>
    </row>
    <row r="29" ht="12.75" customHeight="1">
      <c r="B29" s="187" t="s">
        <v>392</v>
      </c>
      <c r="C29" s="11"/>
      <c r="D29" s="188"/>
      <c r="E29" s="187"/>
      <c r="F29" s="187" t="s">
        <v>393</v>
      </c>
      <c r="G29" s="306" t="str">
        <f>G26</f>
        <v/>
      </c>
      <c r="H29" s="77" t="s">
        <v>393</v>
      </c>
      <c r="I29" s="303">
        <f>I26+I27+I28</f>
        <v>0</v>
      </c>
      <c r="J29" s="70"/>
      <c r="K29" s="77" t="s">
        <v>393</v>
      </c>
      <c r="L29" s="304">
        <f>L26+L27+L28</f>
        <v>0</v>
      </c>
      <c r="M29" s="70"/>
    </row>
    <row r="30" ht="12.75" customHeight="1">
      <c r="B30" s="27"/>
    </row>
    <row r="31" ht="12.75" customHeight="1">
      <c r="A31" s="314"/>
      <c r="B31" s="314"/>
      <c r="C31" s="88"/>
      <c r="D31" s="88"/>
      <c r="E31" s="315"/>
      <c r="F31" s="315"/>
      <c r="G31" s="88"/>
      <c r="H31" s="88"/>
      <c r="I31" s="316"/>
      <c r="K31" s="316"/>
    </row>
    <row r="32" ht="15.75" customHeight="1">
      <c r="A32" s="317" t="s">
        <v>396</v>
      </c>
      <c r="C32" s="50"/>
      <c r="D32" s="50"/>
      <c r="E32" s="50"/>
      <c r="G32" s="318"/>
      <c r="H32" s="318"/>
      <c r="I32" s="318"/>
      <c r="J32" s="318"/>
      <c r="K32" s="318"/>
      <c r="L32" s="318"/>
      <c r="M32" s="318"/>
      <c r="N32" s="318"/>
      <c r="O32" s="318"/>
    </row>
    <row r="33" ht="12.75" customHeight="1">
      <c r="A33" s="317"/>
      <c r="C33" s="50"/>
      <c r="D33" s="50"/>
      <c r="E33" s="50"/>
      <c r="G33" s="318"/>
      <c r="H33" s="318"/>
      <c r="I33" s="318"/>
      <c r="J33" s="318"/>
      <c r="K33" s="318"/>
      <c r="L33" s="318"/>
      <c r="M33" s="318"/>
      <c r="N33" s="318"/>
      <c r="O33" s="318"/>
    </row>
    <row r="34" ht="12.75" customHeight="1">
      <c r="A34" s="317"/>
      <c r="B34" s="50" t="s">
        <v>397</v>
      </c>
      <c r="C34" s="50"/>
      <c r="D34" s="50"/>
      <c r="E34" s="50"/>
      <c r="G34" s="318"/>
      <c r="H34" s="318"/>
      <c r="I34" s="318"/>
      <c r="J34" s="318"/>
      <c r="K34" s="318"/>
      <c r="L34" s="318"/>
      <c r="M34" s="318"/>
      <c r="N34" s="318"/>
      <c r="O34" s="318"/>
    </row>
    <row r="35" ht="137.25" customHeight="1">
      <c r="A35" s="50"/>
      <c r="B35" s="289" t="s">
        <v>398</v>
      </c>
      <c r="C35" s="22"/>
      <c r="D35" s="22"/>
      <c r="E35" s="22"/>
      <c r="F35" s="22"/>
      <c r="G35" s="22"/>
      <c r="H35" s="22"/>
      <c r="I35" s="22"/>
      <c r="J35" s="22"/>
      <c r="K35" s="22"/>
      <c r="L35" s="22"/>
      <c r="M35" s="22"/>
      <c r="N35" s="23"/>
      <c r="O35" s="318"/>
    </row>
    <row r="36" ht="12.75" customHeight="1">
      <c r="A36" s="50"/>
      <c r="B36" s="83"/>
      <c r="C36" s="83"/>
      <c r="D36" s="83"/>
      <c r="E36" s="83"/>
      <c r="F36" s="83"/>
      <c r="G36" s="83"/>
      <c r="H36" s="83"/>
      <c r="I36" s="83"/>
      <c r="J36" s="83"/>
      <c r="K36" s="83"/>
      <c r="L36" s="83"/>
      <c r="M36" s="83"/>
      <c r="N36" s="83"/>
      <c r="O36" s="318"/>
    </row>
    <row r="37" ht="51.75" customHeight="1">
      <c r="B37" s="319"/>
      <c r="C37" s="7"/>
      <c r="D37" s="7"/>
      <c r="E37" s="7"/>
      <c r="I37" s="320" t="s">
        <v>388</v>
      </c>
      <c r="J37" s="320" t="s">
        <v>399</v>
      </c>
      <c r="K37" s="320" t="s">
        <v>400</v>
      </c>
      <c r="L37" s="70"/>
      <c r="M37" s="321"/>
      <c r="O37" s="321"/>
      <c r="P37" s="321"/>
      <c r="R37" s="321"/>
      <c r="S37" s="321"/>
      <c r="U37" s="40"/>
    </row>
    <row r="38" ht="12.75" customHeight="1">
      <c r="A38" s="16"/>
      <c r="B38" s="16">
        <v>1.0</v>
      </c>
      <c r="C38" s="51" t="s">
        <v>401</v>
      </c>
      <c r="I38" s="322">
        <v>0.0</v>
      </c>
      <c r="J38" s="323">
        <v>0.0</v>
      </c>
      <c r="K38" s="324">
        <v>0.0</v>
      </c>
      <c r="L38" s="70"/>
      <c r="M38" s="325"/>
      <c r="N38" s="326"/>
      <c r="O38" s="318"/>
      <c r="P38" s="325"/>
      <c r="R38" s="318"/>
      <c r="S38" s="325"/>
    </row>
    <row r="39" ht="12.75" customHeight="1">
      <c r="A39" s="16"/>
      <c r="B39" s="16">
        <v>2.0</v>
      </c>
      <c r="C39" s="51" t="s">
        <v>402</v>
      </c>
      <c r="I39" s="322">
        <v>0.0</v>
      </c>
      <c r="J39" s="323">
        <v>0.0</v>
      </c>
      <c r="K39" s="324">
        <v>0.0</v>
      </c>
      <c r="L39" s="70"/>
      <c r="M39" s="325"/>
      <c r="N39" s="326"/>
      <c r="O39" s="318"/>
      <c r="P39" s="325"/>
      <c r="R39" s="318"/>
      <c r="S39" s="325"/>
    </row>
    <row r="40" ht="12.75" customHeight="1">
      <c r="A40" s="16"/>
      <c r="B40" s="16">
        <v>3.0</v>
      </c>
      <c r="C40" s="51" t="s">
        <v>403</v>
      </c>
      <c r="I40" s="322">
        <v>80.6091</v>
      </c>
      <c r="J40" s="323">
        <v>0.0</v>
      </c>
      <c r="K40" s="324">
        <v>0.0</v>
      </c>
      <c r="L40" s="70"/>
      <c r="M40" s="325"/>
      <c r="N40" s="326"/>
      <c r="O40" s="318"/>
      <c r="P40" s="325"/>
      <c r="R40" s="318"/>
      <c r="S40" s="325"/>
    </row>
    <row r="41" ht="12.75" customHeight="1">
      <c r="A41" s="16"/>
      <c r="B41" s="16">
        <v>4.0</v>
      </c>
      <c r="C41" s="51" t="s">
        <v>404</v>
      </c>
      <c r="I41" s="322">
        <v>0.0</v>
      </c>
      <c r="J41" s="323">
        <v>0.0</v>
      </c>
      <c r="K41" s="324">
        <v>0.0</v>
      </c>
      <c r="L41" s="70"/>
      <c r="M41" s="325"/>
      <c r="N41" s="326"/>
      <c r="O41" s="318"/>
      <c r="P41" s="325"/>
      <c r="R41" s="318"/>
      <c r="S41" s="325"/>
    </row>
    <row r="42" ht="12.75" customHeight="1">
      <c r="A42" s="16"/>
      <c r="B42" s="16">
        <v>5.0</v>
      </c>
      <c r="C42" s="51" t="s">
        <v>405</v>
      </c>
      <c r="I42" s="322">
        <v>0.0</v>
      </c>
      <c r="J42" s="323">
        <v>0.0</v>
      </c>
      <c r="K42" s="324">
        <v>0.0</v>
      </c>
      <c r="L42" s="70"/>
      <c r="M42" s="325"/>
      <c r="N42" s="326"/>
      <c r="O42" s="318"/>
      <c r="P42" s="325"/>
      <c r="R42" s="318"/>
      <c r="S42" s="325"/>
    </row>
    <row r="43" ht="12.75" customHeight="1">
      <c r="A43" s="16"/>
      <c r="B43" s="16">
        <v>6.0</v>
      </c>
      <c r="C43" s="51" t="s">
        <v>406</v>
      </c>
      <c r="I43" s="322">
        <v>5.145</v>
      </c>
      <c r="J43" s="323">
        <v>0.0</v>
      </c>
      <c r="K43" s="324">
        <v>0.0</v>
      </c>
      <c r="L43" s="70"/>
      <c r="M43" s="325"/>
      <c r="N43" s="326"/>
      <c r="O43" s="318"/>
      <c r="P43" s="325"/>
      <c r="R43" s="318"/>
      <c r="S43" s="325"/>
    </row>
    <row r="44" ht="12.75" customHeight="1">
      <c r="A44" s="16"/>
      <c r="B44" s="16">
        <v>7.0</v>
      </c>
      <c r="C44" s="51" t="s">
        <v>407</v>
      </c>
      <c r="I44" s="322">
        <v>1.83</v>
      </c>
      <c r="J44" s="323">
        <v>0.0</v>
      </c>
      <c r="K44" s="324">
        <v>0.0</v>
      </c>
      <c r="L44" s="70"/>
      <c r="M44" s="325"/>
      <c r="N44" s="326"/>
      <c r="O44" s="318"/>
      <c r="P44" s="325"/>
      <c r="R44" s="318"/>
      <c r="S44" s="325"/>
    </row>
    <row r="45" ht="12.75" customHeight="1">
      <c r="A45" s="16"/>
      <c r="B45" s="16">
        <v>8.0</v>
      </c>
      <c r="C45" s="51" t="s">
        <v>408</v>
      </c>
      <c r="I45" s="322">
        <v>0.0</v>
      </c>
      <c r="J45" s="323">
        <v>0.0</v>
      </c>
      <c r="K45" s="324">
        <v>0.0</v>
      </c>
      <c r="L45" s="70"/>
      <c r="M45" s="325"/>
      <c r="N45" s="326"/>
      <c r="O45" s="318"/>
      <c r="P45" s="325"/>
      <c r="R45" s="318"/>
      <c r="S45" s="325"/>
    </row>
    <row r="46" ht="12.75" customHeight="1">
      <c r="A46" s="16"/>
      <c r="B46" s="16">
        <v>9.0</v>
      </c>
      <c r="C46" s="51" t="s">
        <v>409</v>
      </c>
      <c r="I46" s="322">
        <v>0.0</v>
      </c>
      <c r="J46" s="323">
        <v>0.0</v>
      </c>
      <c r="K46" s="324">
        <v>0.0</v>
      </c>
      <c r="L46" s="70"/>
      <c r="M46" s="325"/>
      <c r="N46" s="326"/>
      <c r="O46" s="318"/>
      <c r="P46" s="325"/>
      <c r="R46" s="318"/>
      <c r="S46" s="325"/>
    </row>
    <row r="47" ht="12.75" customHeight="1">
      <c r="A47" s="16"/>
      <c r="B47" s="16">
        <v>10.0</v>
      </c>
      <c r="C47" s="51" t="s">
        <v>410</v>
      </c>
      <c r="I47" s="322">
        <v>0.0</v>
      </c>
      <c r="J47" s="327"/>
      <c r="K47" s="328"/>
      <c r="L47" s="70"/>
      <c r="M47" s="325"/>
      <c r="N47" s="326"/>
      <c r="O47" s="318"/>
      <c r="P47" s="325"/>
      <c r="R47" s="318"/>
      <c r="S47" s="325"/>
    </row>
    <row r="48" ht="12.75" customHeight="1">
      <c r="A48" s="16"/>
      <c r="B48" s="16">
        <v>11.0</v>
      </c>
      <c r="C48" s="51" t="s">
        <v>411</v>
      </c>
      <c r="I48" s="322">
        <v>45.9249</v>
      </c>
      <c r="J48" s="323">
        <v>0.0</v>
      </c>
      <c r="K48" s="324">
        <v>0.0</v>
      </c>
      <c r="L48" s="70"/>
      <c r="M48" s="325"/>
      <c r="N48" s="326"/>
      <c r="O48" s="318"/>
      <c r="P48" s="325"/>
      <c r="R48" s="318"/>
      <c r="S48" s="325"/>
    </row>
    <row r="49" ht="12.75" customHeight="1">
      <c r="A49" s="16"/>
      <c r="B49" s="16">
        <v>12.0</v>
      </c>
      <c r="C49" s="51" t="s">
        <v>412</v>
      </c>
      <c r="I49" s="322">
        <v>0.0</v>
      </c>
      <c r="J49" s="323">
        <v>0.0</v>
      </c>
      <c r="K49" s="324">
        <v>0.0</v>
      </c>
      <c r="L49" s="70"/>
      <c r="M49" s="325"/>
      <c r="N49" s="326"/>
      <c r="O49" s="318"/>
      <c r="P49" s="325"/>
      <c r="R49" s="318"/>
      <c r="S49" s="325"/>
    </row>
    <row r="50" ht="12.75" customHeight="1">
      <c r="A50" s="16"/>
      <c r="B50" s="16">
        <v>13.0</v>
      </c>
      <c r="C50" s="51" t="s">
        <v>413</v>
      </c>
      <c r="I50" s="322">
        <v>0.2</v>
      </c>
      <c r="J50" s="323">
        <v>0.0</v>
      </c>
      <c r="K50" s="324">
        <v>0.0</v>
      </c>
      <c r="L50" s="70"/>
      <c r="M50" s="325"/>
      <c r="N50" s="326"/>
      <c r="O50" s="318"/>
      <c r="P50" s="325"/>
      <c r="R50" s="318"/>
      <c r="S50" s="325"/>
    </row>
    <row r="51" ht="12.75" customHeight="1">
      <c r="A51" s="16"/>
      <c r="B51" s="16">
        <v>14.0</v>
      </c>
      <c r="C51" s="51" t="s">
        <v>414</v>
      </c>
      <c r="I51" s="322">
        <v>0.0</v>
      </c>
      <c r="J51" s="323">
        <v>0.0</v>
      </c>
      <c r="K51" s="324">
        <v>0.0</v>
      </c>
      <c r="L51" s="70"/>
      <c r="M51" s="325"/>
      <c r="N51" s="326"/>
      <c r="O51" s="318"/>
      <c r="P51" s="325"/>
      <c r="R51" s="318"/>
      <c r="S51" s="325"/>
    </row>
    <row r="52" ht="12.75" customHeight="1">
      <c r="A52" s="16"/>
      <c r="B52" s="16">
        <v>15.0</v>
      </c>
      <c r="C52" s="51" t="s">
        <v>415</v>
      </c>
      <c r="D52" s="71"/>
      <c r="E52" s="71"/>
      <c r="I52" s="322">
        <v>0.0</v>
      </c>
      <c r="J52" s="323">
        <v>0.0</v>
      </c>
      <c r="K52" s="324">
        <v>0.0</v>
      </c>
      <c r="L52" s="70"/>
      <c r="M52" s="325"/>
      <c r="N52" s="326"/>
      <c r="O52" s="318"/>
      <c r="P52" s="325"/>
      <c r="R52" s="318"/>
      <c r="S52" s="325"/>
    </row>
    <row r="53" ht="12.75" customHeight="1">
      <c r="A53" s="16"/>
      <c r="B53" s="16">
        <v>16.0</v>
      </c>
      <c r="C53" s="39" t="s">
        <v>416</v>
      </c>
      <c r="D53" s="39"/>
      <c r="E53" s="39"/>
      <c r="F53" s="39"/>
      <c r="G53" s="39"/>
      <c r="I53" s="322">
        <v>463.1178</v>
      </c>
      <c r="J53" s="323">
        <v>0.0</v>
      </c>
      <c r="K53" s="324">
        <v>0.0</v>
      </c>
      <c r="L53" s="70"/>
      <c r="M53" s="325"/>
      <c r="N53" s="326"/>
      <c r="O53" s="326"/>
      <c r="P53" s="325"/>
      <c r="R53" s="325"/>
      <c r="S53" s="325"/>
    </row>
    <row r="54" ht="12.75" customHeight="1">
      <c r="A54" s="16"/>
      <c r="B54" s="16">
        <v>17.0</v>
      </c>
      <c r="C54" s="24" t="s">
        <v>417</v>
      </c>
      <c r="D54" s="71"/>
      <c r="E54" s="71"/>
      <c r="I54" s="322">
        <f t="shared" ref="I54:K54" si="1">SUM(I38:I53)</f>
        <v>596.8268</v>
      </c>
      <c r="J54" s="329">
        <f t="shared" si="1"/>
        <v>0</v>
      </c>
      <c r="K54" s="330">
        <f t="shared" si="1"/>
        <v>0</v>
      </c>
      <c r="L54" s="70"/>
      <c r="M54" s="325"/>
      <c r="N54" s="326"/>
      <c r="O54" s="326"/>
      <c r="P54" s="325"/>
      <c r="R54" s="325"/>
      <c r="S54" s="325"/>
    </row>
    <row r="55" ht="14.25" customHeight="1">
      <c r="A55" s="16"/>
      <c r="B55" s="331" t="s">
        <v>418</v>
      </c>
      <c r="C55" s="51" t="s">
        <v>419</v>
      </c>
      <c r="D55" s="51"/>
      <c r="E55" s="51"/>
      <c r="F55" s="51"/>
      <c r="G55" s="51"/>
      <c r="H55" s="51"/>
      <c r="I55" s="332"/>
      <c r="J55" s="333"/>
      <c r="K55" s="334"/>
      <c r="L55" s="334"/>
      <c r="M55" s="335"/>
      <c r="N55" s="333"/>
      <c r="O55" s="326"/>
      <c r="P55" s="325"/>
      <c r="R55" s="325"/>
      <c r="S55" s="325"/>
    </row>
    <row r="56" ht="14.25" customHeight="1">
      <c r="A56" s="16"/>
      <c r="B56" s="331" t="s">
        <v>420</v>
      </c>
      <c r="C56" s="51" t="s">
        <v>421</v>
      </c>
      <c r="D56" s="51"/>
      <c r="E56" s="51"/>
      <c r="F56" s="51"/>
      <c r="G56" s="51"/>
      <c r="H56" s="51"/>
      <c r="I56" s="332"/>
      <c r="J56" s="333"/>
      <c r="K56" s="334"/>
      <c r="L56" s="334"/>
      <c r="M56" s="335"/>
      <c r="N56" s="333"/>
      <c r="O56" s="326"/>
      <c r="P56" s="325"/>
      <c r="R56" s="325"/>
      <c r="S56" s="325"/>
    </row>
    <row r="57" ht="12.75" customHeight="1">
      <c r="A57" s="16"/>
      <c r="B57" s="331" t="s">
        <v>422</v>
      </c>
      <c r="C57" s="42" t="s">
        <v>423</v>
      </c>
      <c r="O57" s="326"/>
      <c r="P57" s="325"/>
      <c r="R57" s="325"/>
      <c r="S57" s="325"/>
    </row>
    <row r="58" ht="12.75" customHeight="1">
      <c r="A58" s="16"/>
      <c r="B58" s="180"/>
      <c r="O58" s="326"/>
      <c r="P58" s="325"/>
      <c r="R58" s="325"/>
      <c r="S58" s="325"/>
    </row>
    <row r="59" ht="40.5" customHeight="1">
      <c r="A59" s="16"/>
      <c r="B59" s="331" t="s">
        <v>424</v>
      </c>
      <c r="C59" s="42" t="s">
        <v>425</v>
      </c>
      <c r="P59" s="325"/>
      <c r="R59" s="325"/>
      <c r="S59" s="325"/>
    </row>
    <row r="60" ht="12.0" customHeight="1">
      <c r="B60" s="331" t="s">
        <v>426</v>
      </c>
      <c r="C60" s="42" t="s">
        <v>427</v>
      </c>
      <c r="O60" s="41"/>
      <c r="P60" s="41"/>
      <c r="Q60" s="41"/>
      <c r="R60" s="41"/>
      <c r="S60" s="41"/>
    </row>
    <row r="61" ht="12.75" customHeight="1">
      <c r="A61" s="317"/>
      <c r="O61" s="41"/>
      <c r="P61" s="41"/>
      <c r="Q61" s="41"/>
      <c r="R61" s="41"/>
      <c r="S61" s="41"/>
    </row>
    <row r="62" ht="12.75" customHeight="1">
      <c r="A62" s="317"/>
      <c r="C62" s="42"/>
      <c r="D62" s="42"/>
      <c r="E62" s="42"/>
      <c r="F62" s="42"/>
      <c r="G62" s="42"/>
      <c r="H62" s="42"/>
      <c r="I62" s="42"/>
      <c r="J62" s="42"/>
      <c r="K62" s="42"/>
      <c r="L62" s="42"/>
      <c r="M62" s="42"/>
      <c r="N62" s="42"/>
      <c r="O62" s="42"/>
      <c r="P62" s="42"/>
      <c r="Q62" s="41"/>
      <c r="R62" s="41"/>
      <c r="S62" s="41"/>
    </row>
    <row r="63" ht="12.75" customHeight="1">
      <c r="A63" s="317" t="s">
        <v>428</v>
      </c>
    </row>
    <row r="64" ht="12.75" customHeight="1">
      <c r="B64" s="114">
        <v>1.0</v>
      </c>
      <c r="C64" s="294" t="s">
        <v>378</v>
      </c>
      <c r="D64" s="39" t="s">
        <v>429</v>
      </c>
      <c r="M64" s="17"/>
      <c r="N64" s="336"/>
      <c r="O64" s="88"/>
      <c r="P64" s="88"/>
    </row>
    <row r="65" ht="78.0" customHeight="1">
      <c r="B65" s="114"/>
      <c r="C65" s="289" t="s">
        <v>430</v>
      </c>
      <c r="D65" s="22"/>
      <c r="E65" s="22"/>
      <c r="F65" s="22"/>
      <c r="G65" s="22"/>
      <c r="H65" s="22"/>
      <c r="I65" s="22"/>
      <c r="J65" s="23"/>
      <c r="M65" s="17"/>
      <c r="N65" s="336"/>
    </row>
    <row r="66" ht="12.75" customHeight="1">
      <c r="B66" s="114"/>
      <c r="C66" s="27"/>
      <c r="D66" s="27"/>
      <c r="E66" s="27"/>
      <c r="F66" s="27"/>
      <c r="G66" s="27"/>
      <c r="H66" s="27"/>
      <c r="M66" s="17"/>
      <c r="N66" s="336"/>
    </row>
    <row r="67" ht="12.75" customHeight="1">
      <c r="B67" s="114">
        <v>2.0</v>
      </c>
      <c r="C67" s="24" t="s">
        <v>431</v>
      </c>
      <c r="M67" s="17" t="s">
        <v>11</v>
      </c>
      <c r="N67" s="337">
        <v>0.0</v>
      </c>
    </row>
    <row r="68" ht="138.75" customHeight="1">
      <c r="B68" s="114"/>
      <c r="C68" s="289" t="s">
        <v>432</v>
      </c>
      <c r="D68" s="22"/>
      <c r="E68" s="22"/>
      <c r="F68" s="22"/>
      <c r="G68" s="22"/>
      <c r="H68" s="22"/>
      <c r="I68" s="22"/>
      <c r="J68" s="23"/>
      <c r="M68" s="17"/>
      <c r="N68" s="336"/>
    </row>
    <row r="69" ht="165.0" customHeight="1">
      <c r="B69" s="114"/>
      <c r="C69" s="289" t="s">
        <v>433</v>
      </c>
      <c r="D69" s="22"/>
      <c r="E69" s="22"/>
      <c r="F69" s="22"/>
      <c r="G69" s="22"/>
      <c r="H69" s="22"/>
      <c r="I69" s="22"/>
      <c r="J69" s="23"/>
      <c r="K69" s="41"/>
      <c r="L69" s="41"/>
      <c r="M69" s="17"/>
      <c r="N69" s="336"/>
    </row>
    <row r="70" ht="12.75" customHeight="1">
      <c r="B70" s="114"/>
      <c r="C70" s="27"/>
      <c r="D70" s="27"/>
      <c r="E70" s="27"/>
      <c r="F70" s="27"/>
      <c r="G70" s="27"/>
      <c r="H70" s="27"/>
      <c r="M70" s="17"/>
      <c r="N70" s="336"/>
    </row>
    <row r="71" ht="12.75" customHeight="1">
      <c r="B71" s="114">
        <v>3.0</v>
      </c>
      <c r="C71" s="24" t="s">
        <v>434</v>
      </c>
      <c r="M71" s="17" t="s">
        <v>11</v>
      </c>
      <c r="N71" s="337">
        <v>13000.0</v>
      </c>
    </row>
    <row r="72" ht="98.25" customHeight="1">
      <c r="B72" s="114"/>
      <c r="C72" s="289" t="s">
        <v>435</v>
      </c>
      <c r="D72" s="22"/>
      <c r="E72" s="22"/>
      <c r="F72" s="22"/>
      <c r="G72" s="22"/>
      <c r="H72" s="22"/>
      <c r="I72" s="22"/>
      <c r="J72" s="23"/>
      <c r="M72" s="17"/>
      <c r="N72" s="336"/>
    </row>
    <row r="73" ht="12.75" customHeight="1">
      <c r="B73" s="114"/>
      <c r="C73" s="27"/>
      <c r="D73" s="27"/>
      <c r="E73" s="27"/>
      <c r="F73" s="27"/>
      <c r="M73" s="17"/>
      <c r="N73" s="336"/>
    </row>
    <row r="74" ht="14.25" customHeight="1">
      <c r="B74" s="114">
        <v>4.0</v>
      </c>
      <c r="C74" s="24" t="s">
        <v>436</v>
      </c>
      <c r="M74" s="17" t="s">
        <v>11</v>
      </c>
      <c r="N74" s="337">
        <v>4900.0</v>
      </c>
    </row>
    <row r="75" ht="53.25" customHeight="1">
      <c r="C75" s="289" t="s">
        <v>437</v>
      </c>
      <c r="D75" s="22"/>
      <c r="E75" s="22"/>
      <c r="F75" s="22"/>
      <c r="G75" s="22"/>
      <c r="H75" s="22"/>
      <c r="I75" s="22"/>
      <c r="J75" s="23"/>
    </row>
    <row r="76" ht="12.75" customHeight="1">
      <c r="C76" s="42"/>
      <c r="D76" s="42"/>
      <c r="E76" s="42"/>
      <c r="F76" s="42"/>
      <c r="G76" s="42"/>
      <c r="H76" s="42"/>
      <c r="I76" s="42"/>
      <c r="J76" s="42"/>
    </row>
    <row r="77" ht="12.75" customHeight="1">
      <c r="A77" s="71"/>
      <c r="B77" s="114">
        <v>5.0</v>
      </c>
      <c r="C77" s="24" t="s">
        <v>438</v>
      </c>
      <c r="D77" s="71"/>
      <c r="E77" s="71"/>
      <c r="F77" s="71"/>
      <c r="G77" s="71"/>
      <c r="H77" s="71"/>
      <c r="I77" s="71"/>
      <c r="J77" s="71"/>
      <c r="K77" s="71"/>
      <c r="L77" s="71"/>
      <c r="M77" s="17" t="s">
        <v>11</v>
      </c>
      <c r="N77" s="337">
        <v>0.0</v>
      </c>
      <c r="O77" s="71"/>
      <c r="P77" s="71"/>
      <c r="Q77" s="71"/>
      <c r="R77" s="71"/>
      <c r="S77" s="71"/>
      <c r="T77" s="71"/>
      <c r="U77" s="71"/>
      <c r="V77" s="71"/>
      <c r="W77" s="71"/>
      <c r="X77" s="71"/>
      <c r="Y77" s="71"/>
      <c r="Z77" s="71"/>
      <c r="AA77" s="71"/>
      <c r="AB77" s="71"/>
      <c r="AC77" s="71"/>
    </row>
    <row r="78" ht="85.5" customHeight="1">
      <c r="A78" s="71"/>
      <c r="B78" s="71"/>
      <c r="C78" s="289" t="s">
        <v>439</v>
      </c>
      <c r="D78" s="22"/>
      <c r="E78" s="22"/>
      <c r="F78" s="22"/>
      <c r="G78" s="22"/>
      <c r="H78" s="22"/>
      <c r="I78" s="22"/>
      <c r="J78" s="23"/>
      <c r="K78" s="71"/>
      <c r="L78" s="71"/>
      <c r="M78" s="71"/>
      <c r="N78" s="71"/>
      <c r="O78" s="71"/>
      <c r="P78" s="71"/>
      <c r="Q78" s="71"/>
      <c r="R78" s="71"/>
      <c r="S78" s="71"/>
      <c r="T78" s="71"/>
      <c r="U78" s="71"/>
      <c r="V78" s="71"/>
      <c r="W78" s="71"/>
      <c r="X78" s="71"/>
      <c r="Y78" s="71"/>
      <c r="Z78" s="71"/>
      <c r="AA78" s="71"/>
      <c r="AB78" s="71"/>
      <c r="AC78" s="71"/>
    </row>
    <row r="79" ht="13.5" customHeight="1"/>
    <row r="80" ht="12.75" customHeight="1">
      <c r="A80" s="338" t="s">
        <v>440</v>
      </c>
    </row>
    <row r="81" ht="12.75" customHeight="1"/>
    <row r="82" ht="12.75" customHeight="1">
      <c r="B82" s="114">
        <v>1.0</v>
      </c>
      <c r="C82" s="24" t="s">
        <v>441</v>
      </c>
      <c r="M82" s="17"/>
      <c r="N82" s="339">
        <v>5.64E-4</v>
      </c>
    </row>
    <row r="83" ht="57.0" customHeight="1">
      <c r="C83" s="289" t="s">
        <v>442</v>
      </c>
      <c r="D83" s="22"/>
      <c r="E83" s="22"/>
      <c r="F83" s="22"/>
      <c r="G83" s="22"/>
      <c r="H83" s="22"/>
      <c r="I83" s="22"/>
      <c r="J83" s="23"/>
    </row>
    <row r="84" ht="12.75" customHeight="1">
      <c r="C84" s="43"/>
      <c r="D84" s="43"/>
      <c r="E84" s="43"/>
      <c r="F84" s="43"/>
      <c r="G84" s="43"/>
      <c r="H84" s="43"/>
      <c r="I84" s="43"/>
      <c r="J84" s="43"/>
    </row>
    <row r="85" ht="59.2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4">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C72:J72"/>
    <mergeCell ref="C75:J75"/>
    <mergeCell ref="C78:J78"/>
    <mergeCell ref="A80:N80"/>
    <mergeCell ref="C83:J83"/>
    <mergeCell ref="C57:N58"/>
    <mergeCell ref="C59:O59"/>
    <mergeCell ref="C60:N61"/>
    <mergeCell ref="D64:L64"/>
    <mergeCell ref="C65:J65"/>
    <mergeCell ref="C68:J68"/>
    <mergeCell ref="C69:J69"/>
    <mergeCell ref="Q4:AC4"/>
    <mergeCell ref="B6:N6"/>
    <mergeCell ref="M7:N7"/>
    <mergeCell ref="D8:I8"/>
    <mergeCell ref="J8:L8"/>
    <mergeCell ref="M8:N8"/>
    <mergeCell ref="D9:I9"/>
    <mergeCell ref="J9:L9"/>
    <mergeCell ref="M9:N9"/>
    <mergeCell ref="D10:I10"/>
    <mergeCell ref="J10:L10"/>
    <mergeCell ref="M10:N10"/>
    <mergeCell ref="D11:I11"/>
    <mergeCell ref="B14:N14"/>
    <mergeCell ref="B16:E16"/>
    <mergeCell ref="F16:G16"/>
    <mergeCell ref="H16:J16"/>
    <mergeCell ref="K16:M16"/>
    <mergeCell ref="F17:G17"/>
    <mergeCell ref="I17:J17"/>
    <mergeCell ref="L17:M17"/>
    <mergeCell ref="I19:J19"/>
    <mergeCell ref="I20:J20"/>
    <mergeCell ref="I26:J26"/>
    <mergeCell ref="I27:J27"/>
    <mergeCell ref="I28:J28"/>
    <mergeCell ref="I29:J29"/>
    <mergeCell ref="B17:E17"/>
    <mergeCell ref="B18:E18"/>
    <mergeCell ref="I18:J18"/>
    <mergeCell ref="L18:M18"/>
    <mergeCell ref="B19:E19"/>
    <mergeCell ref="L19:M19"/>
    <mergeCell ref="L20:M20"/>
    <mergeCell ref="B20:E20"/>
    <mergeCell ref="B23:N23"/>
    <mergeCell ref="F25:G25"/>
    <mergeCell ref="H25:J25"/>
    <mergeCell ref="K25:M25"/>
    <mergeCell ref="L26:M26"/>
    <mergeCell ref="L27:M27"/>
    <mergeCell ref="L28:M28"/>
    <mergeCell ref="L29:M29"/>
    <mergeCell ref="B35:N35"/>
    <mergeCell ref="K37:L37"/>
    <mergeCell ref="K38:L38"/>
    <mergeCell ref="K39:L39"/>
    <mergeCell ref="K40:L40"/>
  </mergeCells>
  <dataValidations>
    <dataValidation type="list" allowBlank="1" showErrorMessage="1" sqref="C64">
      <formula1>"X"</formula1>
    </dataValidation>
    <dataValidation type="list" allowBlank="1" showErrorMessage="1" sqref="B8:B11">
      <formula1>$Q$8:$Q$10</formula1>
    </dataValidation>
    <dataValidation type="custom" allowBlank="1" showInputMessage="1" showErrorMessage="1" prompt="Leave blank for budget adoption. Enter amount in parentheses." sqref="N77">
      <formula1>N77&lt;=0</formula1>
    </dataValidation>
  </dataValidations>
  <printOptions/>
  <pageMargins bottom="0.75" footer="0.0" header="0.0" left="0.7" right="0.7" top="0.75"/>
  <pageSetup fitToWidth="0" paperSize="5" orientation="portrait"/>
  <headerFooter>
    <oddFooter>&amp;LRev. 5/24 Arizona Department of Education and Auditor General&amp;RData Entry</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38"/>
    <col customWidth="1" min="2" max="2" width="2.38"/>
    <col customWidth="1" min="3" max="3" width="4.0"/>
    <col customWidth="1" min="4" max="4" width="4.38"/>
    <col customWidth="1" min="5" max="5" width="7.63"/>
    <col customWidth="1" min="6" max="7" width="11.0"/>
    <col customWidth="1" min="8" max="9" width="11.63"/>
    <col customWidth="1" min="10" max="10" width="12.63"/>
    <col customWidth="1" min="11" max="11" width="2.63"/>
    <col customWidth="1" min="12" max="12" width="14.0"/>
    <col customWidth="1" min="13" max="13" width="1.63"/>
    <col customWidth="1" min="14" max="14" width="14.63"/>
    <col customWidth="1" min="15" max="15" width="11.0"/>
    <col customWidth="1" min="16" max="16" width="7.63"/>
    <col customWidth="1" min="17" max="18" width="11.0"/>
    <col customWidth="1" min="19" max="19" width="7.38"/>
    <col customWidth="1" min="20" max="22" width="11.0"/>
    <col customWidth="1" min="23" max="23" width="7.38"/>
    <col customWidth="1" min="24" max="26" width="11.0"/>
    <col customWidth="1" min="27" max="27" width="7.38"/>
    <col customWidth="1" min="28" max="31" width="11.0"/>
  </cols>
  <sheetData>
    <row r="1" ht="15.75" customHeight="1">
      <c r="A1" s="17" t="s">
        <v>0</v>
      </c>
      <c r="E1" s="64" t="str">
        <f>CharterName</f>
        <v>Western School of Science and Technology</v>
      </c>
      <c r="F1" s="3"/>
      <c r="G1" s="3"/>
      <c r="H1" s="17" t="s">
        <v>2</v>
      </c>
      <c r="I1" s="64" t="str">
        <f>Cover!M1</f>
        <v>Maricopa</v>
      </c>
      <c r="J1" s="17" t="s">
        <v>4</v>
      </c>
      <c r="L1" s="5" t="str">
        <f>CTD</f>
        <v>078221000</v>
      </c>
      <c r="M1" s="3"/>
      <c r="N1" s="268"/>
      <c r="O1" s="340"/>
      <c r="P1" s="341"/>
      <c r="Q1" s="341"/>
      <c r="R1" s="341"/>
      <c r="S1" s="341"/>
      <c r="T1" s="341"/>
      <c r="U1" s="341"/>
      <c r="V1" s="341"/>
      <c r="W1" s="341"/>
      <c r="X1" s="341"/>
      <c r="Y1" s="341"/>
      <c r="Z1" s="341"/>
      <c r="AA1" s="341"/>
      <c r="AB1" s="341"/>
      <c r="AC1" s="341"/>
      <c r="AD1" s="341"/>
      <c r="AE1" s="341"/>
    </row>
    <row r="2" ht="15.75" customHeight="1">
      <c r="A2" s="268"/>
      <c r="B2" s="268"/>
      <c r="C2" s="268"/>
      <c r="D2" s="268"/>
      <c r="E2" s="342"/>
      <c r="F2" s="342"/>
      <c r="G2" s="342"/>
      <c r="H2" s="268"/>
      <c r="I2" s="342"/>
      <c r="J2" s="268"/>
      <c r="K2" s="268"/>
      <c r="L2" s="340"/>
      <c r="M2" s="340"/>
      <c r="N2" s="268"/>
      <c r="O2" s="340"/>
      <c r="P2" s="341"/>
      <c r="Q2" s="341"/>
      <c r="R2" s="341"/>
      <c r="S2" s="341"/>
      <c r="T2" s="341"/>
      <c r="U2" s="341"/>
      <c r="V2" s="341"/>
      <c r="W2" s="341"/>
      <c r="X2" s="341"/>
      <c r="Y2" s="341"/>
      <c r="Z2" s="341"/>
      <c r="AA2" s="341"/>
      <c r="AB2" s="341"/>
      <c r="AC2" s="341"/>
      <c r="AD2" s="341"/>
      <c r="AE2" s="341"/>
    </row>
    <row r="3" ht="15.75" customHeight="1">
      <c r="A3" s="268"/>
      <c r="B3" s="268"/>
      <c r="C3" s="268"/>
      <c r="D3" s="268"/>
      <c r="E3" s="342"/>
      <c r="F3" s="342"/>
      <c r="G3" s="342"/>
      <c r="H3" s="268"/>
      <c r="I3" s="342"/>
      <c r="J3" s="268"/>
      <c r="K3" s="268"/>
      <c r="L3" s="340"/>
      <c r="M3" s="340"/>
      <c r="N3" s="268"/>
      <c r="O3" s="340"/>
      <c r="P3" s="341"/>
      <c r="Q3" s="341"/>
      <c r="R3" s="341"/>
      <c r="S3" s="341"/>
      <c r="T3" s="341"/>
      <c r="U3" s="341"/>
      <c r="V3" s="341"/>
      <c r="W3" s="341"/>
      <c r="X3" s="341"/>
      <c r="Y3" s="341"/>
      <c r="Z3" s="341"/>
      <c r="AA3" s="341"/>
      <c r="AB3" s="341"/>
      <c r="AC3" s="341"/>
      <c r="AD3" s="341"/>
      <c r="AE3" s="341"/>
    </row>
    <row r="4" ht="15.75" customHeight="1">
      <c r="A4" s="268"/>
      <c r="B4" s="268"/>
      <c r="C4" s="268"/>
      <c r="D4" s="268"/>
      <c r="E4" s="342"/>
      <c r="F4" s="342"/>
      <c r="G4" s="342"/>
      <c r="H4" s="268"/>
      <c r="I4" s="342"/>
      <c r="J4" s="268"/>
      <c r="K4" s="268"/>
      <c r="L4" s="340"/>
      <c r="M4" s="340"/>
      <c r="N4" s="268"/>
      <c r="O4" s="340"/>
      <c r="P4" s="341"/>
      <c r="Q4" s="341"/>
      <c r="R4" s="341"/>
      <c r="S4" s="341"/>
      <c r="T4" s="341"/>
      <c r="U4" s="341"/>
      <c r="V4" s="341"/>
      <c r="W4" s="341"/>
      <c r="X4" s="341"/>
      <c r="Y4" s="341"/>
      <c r="Z4" s="341"/>
      <c r="AA4" s="341"/>
      <c r="AB4" s="341"/>
      <c r="AC4" s="341"/>
      <c r="AD4" s="341"/>
      <c r="AE4" s="341"/>
    </row>
    <row r="5" ht="15.75" customHeight="1">
      <c r="A5" s="1" t="s">
        <v>443</v>
      </c>
      <c r="B5" s="268"/>
      <c r="C5" s="30"/>
      <c r="D5" s="30"/>
      <c r="E5" s="30"/>
      <c r="F5" s="30"/>
      <c r="G5" s="30"/>
      <c r="H5" s="30"/>
      <c r="I5" s="342"/>
      <c r="J5" s="268"/>
      <c r="K5" s="268"/>
      <c r="L5" s="340"/>
      <c r="M5" s="340"/>
      <c r="N5" s="268"/>
      <c r="O5" s="340"/>
      <c r="P5" s="341"/>
      <c r="Q5" s="341"/>
      <c r="R5" s="341"/>
      <c r="S5" s="341"/>
      <c r="T5" s="341"/>
      <c r="U5" s="341"/>
      <c r="V5" s="341"/>
      <c r="W5" s="341"/>
      <c r="X5" s="341"/>
      <c r="Y5" s="341"/>
      <c r="Z5" s="341"/>
      <c r="AA5" s="341"/>
      <c r="AB5" s="341"/>
      <c r="AC5" s="341"/>
      <c r="AD5" s="341"/>
      <c r="AE5" s="341"/>
    </row>
    <row r="6" ht="15.75" customHeight="1">
      <c r="A6" s="1"/>
      <c r="B6" s="268"/>
      <c r="C6" s="343" t="s">
        <v>444</v>
      </c>
      <c r="D6" s="344"/>
      <c r="E6" s="344"/>
      <c r="F6" s="344"/>
      <c r="G6" s="344"/>
      <c r="H6" s="344"/>
      <c r="I6" s="345"/>
      <c r="J6" s="346"/>
      <c r="K6" s="346"/>
      <c r="L6" s="347"/>
      <c r="M6" s="347"/>
      <c r="N6" s="346"/>
      <c r="O6" s="340"/>
      <c r="P6" s="341"/>
      <c r="Q6" s="341"/>
      <c r="R6" s="341"/>
      <c r="S6" s="341"/>
      <c r="T6" s="341"/>
      <c r="U6" s="341"/>
      <c r="V6" s="341"/>
      <c r="W6" s="341"/>
      <c r="X6" s="341"/>
      <c r="Y6" s="341"/>
      <c r="Z6" s="341"/>
      <c r="AA6" s="341"/>
      <c r="AB6" s="341"/>
      <c r="AC6" s="341"/>
      <c r="AD6" s="341"/>
      <c r="AE6" s="341"/>
    </row>
    <row r="7" ht="15.75" customHeight="1">
      <c r="A7" s="268"/>
      <c r="B7" s="268"/>
      <c r="C7" s="348" t="s">
        <v>445</v>
      </c>
      <c r="D7" s="348"/>
      <c r="E7" s="349"/>
      <c r="F7" s="349"/>
      <c r="G7" s="349"/>
      <c r="H7" s="349"/>
      <c r="I7" s="350"/>
      <c r="J7" s="351"/>
      <c r="K7" s="352"/>
      <c r="L7" s="353" t="s">
        <v>386</v>
      </c>
      <c r="M7" s="354"/>
      <c r="N7" s="355" t="s">
        <v>387</v>
      </c>
      <c r="O7" s="340"/>
      <c r="P7" s="341"/>
      <c r="Q7" s="341"/>
      <c r="R7" s="341"/>
      <c r="S7" s="341"/>
      <c r="T7" s="341"/>
      <c r="U7" s="341"/>
      <c r="V7" s="341"/>
      <c r="W7" s="341"/>
      <c r="X7" s="341"/>
      <c r="Y7" s="341"/>
      <c r="Z7" s="341"/>
      <c r="AA7" s="341"/>
      <c r="AB7" s="341"/>
      <c r="AC7" s="341"/>
      <c r="AD7" s="341"/>
      <c r="AE7" s="341"/>
    </row>
    <row r="8" ht="15.75" customHeight="1">
      <c r="A8" s="268"/>
      <c r="B8" s="268"/>
      <c r="C8" s="58" t="s">
        <v>446</v>
      </c>
      <c r="F8" s="356"/>
      <c r="G8" s="356"/>
      <c r="H8" s="356"/>
      <c r="I8" s="342"/>
      <c r="J8" s="268"/>
      <c r="K8" s="357"/>
      <c r="M8" s="58"/>
      <c r="N8" s="358"/>
      <c r="O8" s="340"/>
      <c r="P8" s="341"/>
      <c r="Q8" s="341"/>
      <c r="R8" s="341"/>
      <c r="S8" s="341"/>
      <c r="T8" s="341"/>
      <c r="U8" s="341"/>
      <c r="V8" s="341"/>
      <c r="W8" s="341"/>
      <c r="X8" s="341"/>
      <c r="Y8" s="341"/>
      <c r="Z8" s="341"/>
      <c r="AA8" s="341"/>
      <c r="AB8" s="341"/>
      <c r="AC8" s="341"/>
      <c r="AD8" s="341"/>
      <c r="AE8" s="341"/>
    </row>
    <row r="9" ht="15.75" customHeight="1">
      <c r="A9" s="268"/>
      <c r="B9" s="268"/>
      <c r="C9" s="359"/>
      <c r="D9" s="360" t="s">
        <v>447</v>
      </c>
      <c r="E9" s="360"/>
      <c r="F9" s="360"/>
      <c r="G9" s="360"/>
      <c r="H9" s="360"/>
      <c r="I9" s="361"/>
      <c r="J9" s="362"/>
      <c r="K9" s="363"/>
      <c r="L9" s="364">
        <v>1.399</v>
      </c>
      <c r="M9" s="365"/>
      <c r="N9" s="366">
        <v>1.559</v>
      </c>
      <c r="O9" s="340"/>
      <c r="P9" s="341"/>
      <c r="Q9" s="341"/>
      <c r="R9" s="341"/>
      <c r="S9" s="341"/>
      <c r="T9" s="341"/>
      <c r="U9" s="341"/>
      <c r="V9" s="341"/>
      <c r="W9" s="341"/>
      <c r="X9" s="341"/>
      <c r="Y9" s="341"/>
      <c r="Z9" s="341"/>
      <c r="AA9" s="341"/>
      <c r="AB9" s="341"/>
      <c r="AC9" s="341"/>
      <c r="AD9" s="341"/>
      <c r="AE9" s="341"/>
    </row>
    <row r="10" ht="15.75" customHeight="1">
      <c r="A10" s="268"/>
      <c r="B10" s="268"/>
      <c r="C10" s="367" t="s">
        <v>448</v>
      </c>
      <c r="F10" s="368"/>
      <c r="G10" s="368"/>
      <c r="H10" s="368"/>
      <c r="I10" s="342"/>
      <c r="J10" s="268"/>
      <c r="K10" s="369"/>
      <c r="L10" s="370"/>
      <c r="M10" s="58"/>
      <c r="N10" s="371"/>
      <c r="O10" s="340"/>
      <c r="P10" s="341"/>
      <c r="Q10" s="341"/>
      <c r="R10" s="341"/>
      <c r="S10" s="341"/>
      <c r="T10" s="341"/>
      <c r="U10" s="341"/>
      <c r="V10" s="341"/>
      <c r="W10" s="341"/>
      <c r="X10" s="341"/>
      <c r="Y10" s="341"/>
      <c r="Z10" s="341"/>
      <c r="AA10" s="341"/>
      <c r="AB10" s="341"/>
      <c r="AC10" s="341"/>
      <c r="AD10" s="341"/>
      <c r="AE10" s="341"/>
    </row>
    <row r="11" ht="15.75" customHeight="1">
      <c r="A11" s="268"/>
      <c r="B11" s="268"/>
      <c r="C11" s="58"/>
      <c r="D11" s="24" t="s">
        <v>449</v>
      </c>
      <c r="I11" s="342"/>
      <c r="J11" s="268"/>
      <c r="K11" s="187"/>
      <c r="L11" s="372">
        <v>500.0</v>
      </c>
      <c r="M11" s="373"/>
      <c r="N11" s="374">
        <v>500.0</v>
      </c>
      <c r="O11" s="340"/>
      <c r="P11" s="341"/>
      <c r="Q11" s="341"/>
      <c r="R11" s="341"/>
      <c r="S11" s="341"/>
      <c r="T11" s="341"/>
      <c r="U11" s="341"/>
      <c r="V11" s="341"/>
      <c r="W11" s="341"/>
      <c r="X11" s="341"/>
      <c r="Y11" s="341"/>
      <c r="Z11" s="341"/>
      <c r="AA11" s="341"/>
      <c r="AB11" s="341"/>
      <c r="AC11" s="341"/>
      <c r="AD11" s="341"/>
      <c r="AE11" s="341"/>
    </row>
    <row r="12" ht="15.75" customHeight="1">
      <c r="A12" s="268"/>
      <c r="B12" s="268"/>
      <c r="C12" s="58"/>
      <c r="D12" s="24" t="s">
        <v>450</v>
      </c>
      <c r="I12" s="342"/>
      <c r="J12" s="268"/>
      <c r="K12" s="187" t="s">
        <v>451</v>
      </c>
      <c r="L12" s="375">
        <f>IF('Data Entry'!I20&gt;99.999,IF('Data Entry'!I20&lt;500,'Data Entry'!I20,0),0)</f>
        <v>140</v>
      </c>
      <c r="M12" s="187" t="s">
        <v>451</v>
      </c>
      <c r="N12" s="376">
        <f>IF('Data Entry'!L20&gt;99.999,IF('Data Entry'!L20&lt;500,'Data Entry'!L20,0),0)</f>
        <v>380</v>
      </c>
      <c r="O12" s="340"/>
      <c r="P12" s="341"/>
      <c r="Q12" s="341"/>
      <c r="R12" s="341"/>
      <c r="S12" s="341"/>
      <c r="T12" s="341"/>
      <c r="U12" s="341"/>
      <c r="V12" s="341"/>
      <c r="W12" s="341"/>
      <c r="X12" s="341"/>
      <c r="Y12" s="341"/>
      <c r="Z12" s="341"/>
      <c r="AA12" s="341"/>
      <c r="AB12" s="341"/>
      <c r="AC12" s="341"/>
      <c r="AD12" s="341"/>
      <c r="AE12" s="341"/>
    </row>
    <row r="13" ht="15.75" customHeight="1">
      <c r="A13" s="268"/>
      <c r="B13" s="268"/>
      <c r="C13" s="58"/>
      <c r="D13" s="24" t="s">
        <v>452</v>
      </c>
      <c r="I13" s="342"/>
      <c r="J13" s="268"/>
      <c r="K13" s="77" t="s">
        <v>393</v>
      </c>
      <c r="L13" s="375">
        <f>IF(L12&gt;0,ROUND(+L11-L12,4),0)</f>
        <v>360</v>
      </c>
      <c r="M13" s="377" t="s">
        <v>393</v>
      </c>
      <c r="N13" s="376">
        <f>IF(N12&gt;0,ROUND(+N11-N12,4),0)</f>
        <v>120</v>
      </c>
      <c r="O13" s="340"/>
      <c r="P13" s="341"/>
      <c r="Q13" s="341"/>
      <c r="R13" s="341"/>
      <c r="S13" s="341"/>
      <c r="T13" s="341"/>
      <c r="U13" s="341"/>
      <c r="V13" s="341"/>
      <c r="W13" s="341"/>
      <c r="X13" s="341"/>
      <c r="Y13" s="341"/>
      <c r="Z13" s="341"/>
      <c r="AA13" s="341"/>
      <c r="AB13" s="341"/>
      <c r="AC13" s="341"/>
      <c r="AD13" s="341"/>
      <c r="AE13" s="341"/>
    </row>
    <row r="14" ht="15.75" customHeight="1">
      <c r="A14" s="268"/>
      <c r="B14" s="268"/>
      <c r="C14" s="58"/>
      <c r="D14" s="24" t="s">
        <v>453</v>
      </c>
      <c r="I14" s="342"/>
      <c r="J14" s="268"/>
      <c r="K14" s="77" t="s">
        <v>356</v>
      </c>
      <c r="L14" s="375">
        <v>3.0E-4</v>
      </c>
      <c r="M14" s="77" t="s">
        <v>356</v>
      </c>
      <c r="N14" s="376">
        <v>4.0E-4</v>
      </c>
      <c r="O14" s="340"/>
      <c r="P14" s="341"/>
      <c r="Q14" s="341"/>
      <c r="R14" s="341"/>
      <c r="S14" s="341"/>
      <c r="T14" s="341"/>
      <c r="U14" s="341"/>
      <c r="V14" s="341"/>
      <c r="W14" s="341"/>
      <c r="X14" s="341"/>
      <c r="Y14" s="341"/>
      <c r="Z14" s="341"/>
      <c r="AA14" s="341"/>
      <c r="AB14" s="341"/>
      <c r="AC14" s="341"/>
      <c r="AD14" s="341"/>
      <c r="AE14" s="341"/>
    </row>
    <row r="15" ht="15.75" customHeight="1">
      <c r="A15" s="268"/>
      <c r="B15" s="268"/>
      <c r="C15" s="58"/>
      <c r="D15" s="24" t="s">
        <v>454</v>
      </c>
      <c r="I15" s="342"/>
      <c r="J15" s="268"/>
      <c r="K15" s="77" t="s">
        <v>393</v>
      </c>
      <c r="L15" s="375">
        <f>IF(L12&gt;0,ROUND(L13*L14,4),0)</f>
        <v>0.108</v>
      </c>
      <c r="M15" s="187" t="s">
        <v>393</v>
      </c>
      <c r="N15" s="376">
        <f>IF(N12&gt;0,ROUND(N13*N14,4),0)</f>
        <v>0.048</v>
      </c>
      <c r="O15" s="340"/>
      <c r="P15" s="341"/>
      <c r="Q15" s="341"/>
      <c r="R15" s="341"/>
      <c r="S15" s="341"/>
      <c r="T15" s="341"/>
      <c r="U15" s="341"/>
      <c r="V15" s="341"/>
      <c r="W15" s="341"/>
      <c r="X15" s="341"/>
      <c r="Y15" s="341"/>
      <c r="Z15" s="341"/>
      <c r="AA15" s="341"/>
      <c r="AB15" s="341"/>
      <c r="AC15" s="341"/>
      <c r="AD15" s="341"/>
      <c r="AE15" s="341"/>
    </row>
    <row r="16" ht="15.75" customHeight="1">
      <c r="A16" s="268"/>
      <c r="B16" s="268"/>
      <c r="C16" s="58"/>
      <c r="D16" s="24" t="s">
        <v>455</v>
      </c>
      <c r="I16" s="342"/>
      <c r="J16" s="268"/>
      <c r="K16" s="77" t="s">
        <v>390</v>
      </c>
      <c r="L16" s="375">
        <v>1.278</v>
      </c>
      <c r="M16" s="77" t="s">
        <v>390</v>
      </c>
      <c r="N16" s="376">
        <v>1.398</v>
      </c>
      <c r="O16" s="340"/>
      <c r="P16" s="341"/>
      <c r="Q16" s="341"/>
      <c r="R16" s="341"/>
      <c r="S16" s="341"/>
      <c r="T16" s="341"/>
      <c r="U16" s="341"/>
      <c r="V16" s="341"/>
      <c r="W16" s="341"/>
      <c r="X16" s="341"/>
      <c r="Y16" s="341"/>
      <c r="Z16" s="341"/>
      <c r="AA16" s="341"/>
      <c r="AB16" s="341"/>
      <c r="AC16" s="341"/>
      <c r="AD16" s="341"/>
      <c r="AE16" s="341"/>
    </row>
    <row r="17" ht="15.75" customHeight="1">
      <c r="A17" s="268"/>
      <c r="B17" s="268"/>
      <c r="C17" s="359"/>
      <c r="D17" s="360" t="s">
        <v>456</v>
      </c>
      <c r="E17" s="360"/>
      <c r="F17" s="360"/>
      <c r="G17" s="360"/>
      <c r="H17" s="360"/>
      <c r="I17" s="361"/>
      <c r="J17" s="362"/>
      <c r="K17" s="378" t="s">
        <v>393</v>
      </c>
      <c r="L17" s="379">
        <f>IF(L12&gt;0,ROUND(+L15+L16,4),0)</f>
        <v>1.386</v>
      </c>
      <c r="M17" s="365" t="s">
        <v>393</v>
      </c>
      <c r="N17" s="380">
        <f>IF(N12&gt;0,ROUND(+N15+N16,4),0)</f>
        <v>1.446</v>
      </c>
      <c r="O17" s="340"/>
      <c r="P17" s="341"/>
      <c r="Q17" s="341"/>
      <c r="R17" s="341"/>
      <c r="S17" s="341"/>
      <c r="T17" s="341"/>
      <c r="U17" s="341"/>
      <c r="V17" s="341"/>
      <c r="W17" s="341"/>
      <c r="X17" s="341"/>
      <c r="Y17" s="341"/>
      <c r="Z17" s="341"/>
      <c r="AA17" s="341"/>
      <c r="AB17" s="341"/>
      <c r="AC17" s="341"/>
      <c r="AD17" s="341"/>
      <c r="AE17" s="341"/>
    </row>
    <row r="18" ht="15.75" customHeight="1">
      <c r="A18" s="268"/>
      <c r="B18" s="268"/>
      <c r="C18" s="367" t="s">
        <v>457</v>
      </c>
      <c r="F18" s="368"/>
      <c r="G18" s="368"/>
      <c r="H18" s="368"/>
      <c r="I18" s="342"/>
      <c r="J18" s="268"/>
      <c r="K18" s="369"/>
      <c r="L18" s="381"/>
      <c r="M18" s="58"/>
      <c r="N18" s="371"/>
      <c r="O18" s="340"/>
      <c r="P18" s="341"/>
      <c r="Q18" s="341"/>
      <c r="R18" s="341"/>
      <c r="S18" s="341"/>
      <c r="T18" s="341"/>
      <c r="U18" s="341"/>
      <c r="V18" s="341"/>
      <c r="W18" s="341"/>
      <c r="X18" s="341"/>
      <c r="Y18" s="341"/>
      <c r="Z18" s="341"/>
      <c r="AA18" s="341"/>
      <c r="AB18" s="341"/>
      <c r="AC18" s="341"/>
      <c r="AD18" s="341"/>
      <c r="AE18" s="341"/>
    </row>
    <row r="19" ht="15.75" customHeight="1">
      <c r="A19" s="268"/>
      <c r="B19" s="268"/>
      <c r="C19" s="58"/>
      <c r="D19" s="24" t="s">
        <v>449</v>
      </c>
      <c r="I19" s="342"/>
      <c r="J19" s="268"/>
      <c r="K19" s="58"/>
      <c r="L19" s="382">
        <v>600.0</v>
      </c>
      <c r="M19" s="373"/>
      <c r="N19" s="376">
        <v>600.0</v>
      </c>
      <c r="O19" s="340"/>
      <c r="P19" s="341"/>
      <c r="Q19" s="341"/>
      <c r="R19" s="341"/>
      <c r="S19" s="341"/>
      <c r="T19" s="341"/>
      <c r="U19" s="341"/>
      <c r="V19" s="341"/>
      <c r="W19" s="341"/>
      <c r="X19" s="341"/>
      <c r="Y19" s="341"/>
      <c r="Z19" s="341"/>
      <c r="AA19" s="341"/>
      <c r="AB19" s="341"/>
      <c r="AC19" s="341"/>
      <c r="AD19" s="341"/>
      <c r="AE19" s="341"/>
    </row>
    <row r="20" ht="15.75" customHeight="1">
      <c r="A20" s="268"/>
      <c r="B20" s="268"/>
      <c r="C20" s="58"/>
      <c r="D20" s="24" t="s">
        <v>450</v>
      </c>
      <c r="I20" s="342"/>
      <c r="J20" s="268"/>
      <c r="K20" s="74" t="s">
        <v>451</v>
      </c>
      <c r="L20" s="375">
        <f>IF('Data Entry'!I20&gt;499.999,IF('Data Entry'!I20&lt;600,'Data Entry'!I20,0),0)</f>
        <v>0</v>
      </c>
      <c r="M20" s="187" t="s">
        <v>451</v>
      </c>
      <c r="N20" s="376">
        <f>IF('Data Entry'!L20&gt;499.999,IF('Data Entry'!L20&lt;600,'Data Entry'!L20,0),0)</f>
        <v>0</v>
      </c>
      <c r="O20" s="340"/>
      <c r="P20" s="341"/>
      <c r="Q20" s="341"/>
      <c r="R20" s="341"/>
      <c r="S20" s="341"/>
      <c r="T20" s="341"/>
      <c r="U20" s="341"/>
      <c r="V20" s="341"/>
      <c r="W20" s="341"/>
      <c r="X20" s="341"/>
      <c r="Y20" s="341"/>
      <c r="Z20" s="341"/>
      <c r="AA20" s="341"/>
      <c r="AB20" s="341"/>
      <c r="AC20" s="341"/>
      <c r="AD20" s="341"/>
      <c r="AE20" s="341"/>
    </row>
    <row r="21" ht="15.75" customHeight="1">
      <c r="A21" s="268"/>
      <c r="B21" s="268"/>
      <c r="C21" s="58"/>
      <c r="D21" s="24" t="s">
        <v>452</v>
      </c>
      <c r="I21" s="342"/>
      <c r="J21" s="268"/>
      <c r="K21" s="99" t="s">
        <v>393</v>
      </c>
      <c r="L21" s="375">
        <f>IF(L20&gt;0,ROUND(+L19-L20,4),0)</f>
        <v>0</v>
      </c>
      <c r="M21" s="377" t="s">
        <v>393</v>
      </c>
      <c r="N21" s="376">
        <f>IF(N20&gt;0,ROUND(+N19-N20,4),0)</f>
        <v>0</v>
      </c>
      <c r="O21" s="340"/>
      <c r="P21" s="341"/>
      <c r="Q21" s="341"/>
      <c r="R21" s="341"/>
      <c r="S21" s="341"/>
      <c r="T21" s="341"/>
      <c r="U21" s="341"/>
      <c r="V21" s="341"/>
      <c r="W21" s="341"/>
      <c r="X21" s="341"/>
      <c r="Y21" s="341"/>
      <c r="Z21" s="341"/>
      <c r="AA21" s="341"/>
      <c r="AB21" s="341"/>
      <c r="AC21" s="341"/>
      <c r="AD21" s="341"/>
      <c r="AE21" s="341"/>
    </row>
    <row r="22" ht="15.75" customHeight="1">
      <c r="A22" s="268"/>
      <c r="B22" s="268"/>
      <c r="C22" s="58"/>
      <c r="D22" s="24" t="s">
        <v>453</v>
      </c>
      <c r="I22" s="342"/>
      <c r="J22" s="268"/>
      <c r="K22" s="74" t="s">
        <v>356</v>
      </c>
      <c r="L22" s="375">
        <v>0.0012</v>
      </c>
      <c r="M22" s="77" t="s">
        <v>356</v>
      </c>
      <c r="N22" s="376">
        <v>0.0013</v>
      </c>
      <c r="O22" s="340"/>
      <c r="P22" s="341"/>
      <c r="Q22" s="341"/>
      <c r="R22" s="341"/>
      <c r="S22" s="341"/>
      <c r="T22" s="341"/>
      <c r="U22" s="341"/>
      <c r="V22" s="341"/>
      <c r="W22" s="341"/>
      <c r="X22" s="341"/>
      <c r="Y22" s="341"/>
      <c r="Z22" s="341"/>
      <c r="AA22" s="341"/>
      <c r="AB22" s="341"/>
      <c r="AC22" s="341"/>
      <c r="AD22" s="341"/>
      <c r="AE22" s="341"/>
    </row>
    <row r="23" ht="15.75" customHeight="1">
      <c r="A23" s="268"/>
      <c r="B23" s="268"/>
      <c r="C23" s="58"/>
      <c r="D23" s="24" t="s">
        <v>454</v>
      </c>
      <c r="I23" s="342"/>
      <c r="J23" s="268"/>
      <c r="K23" s="99" t="s">
        <v>393</v>
      </c>
      <c r="L23" s="375">
        <f>IF(L20&gt;0,ROUND(L21*L22,4),0)</f>
        <v>0</v>
      </c>
      <c r="M23" s="187" t="s">
        <v>393</v>
      </c>
      <c r="N23" s="376">
        <f>IF(N20&gt;0,ROUND(N21*N22,4),0)</f>
        <v>0</v>
      </c>
      <c r="O23" s="340"/>
      <c r="P23" s="341"/>
      <c r="Q23" s="341"/>
      <c r="R23" s="341"/>
      <c r="S23" s="341"/>
      <c r="T23" s="341"/>
      <c r="U23" s="341"/>
      <c r="V23" s="341"/>
      <c r="W23" s="341"/>
      <c r="X23" s="341"/>
      <c r="Y23" s="341"/>
      <c r="Z23" s="341"/>
      <c r="AA23" s="341"/>
      <c r="AB23" s="341"/>
      <c r="AC23" s="341"/>
      <c r="AD23" s="341"/>
      <c r="AE23" s="341"/>
    </row>
    <row r="24" ht="15.75" customHeight="1">
      <c r="A24" s="268"/>
      <c r="B24" s="268"/>
      <c r="C24" s="58"/>
      <c r="D24" s="24" t="s">
        <v>455</v>
      </c>
      <c r="I24" s="342"/>
      <c r="J24" s="268"/>
      <c r="K24" s="74" t="s">
        <v>390</v>
      </c>
      <c r="L24" s="375">
        <v>1.158</v>
      </c>
      <c r="M24" s="187" t="s">
        <v>390</v>
      </c>
      <c r="N24" s="376">
        <v>1.268</v>
      </c>
      <c r="O24" s="340"/>
      <c r="P24" s="341"/>
      <c r="Q24" s="341"/>
      <c r="R24" s="341"/>
      <c r="S24" s="341"/>
      <c r="T24" s="341"/>
      <c r="U24" s="341"/>
      <c r="V24" s="341"/>
      <c r="W24" s="341"/>
      <c r="X24" s="341"/>
      <c r="Y24" s="341"/>
      <c r="Z24" s="341"/>
      <c r="AA24" s="341"/>
      <c r="AB24" s="341"/>
      <c r="AC24" s="341"/>
      <c r="AD24" s="341"/>
      <c r="AE24" s="341"/>
    </row>
    <row r="25" ht="15.75" customHeight="1">
      <c r="A25" s="268"/>
      <c r="B25" s="268"/>
      <c r="C25" s="359"/>
      <c r="D25" s="360" t="s">
        <v>456</v>
      </c>
      <c r="E25" s="360"/>
      <c r="F25" s="360"/>
      <c r="G25" s="360"/>
      <c r="H25" s="360"/>
      <c r="I25" s="361"/>
      <c r="J25" s="362"/>
      <c r="K25" s="383" t="s">
        <v>393</v>
      </c>
      <c r="L25" s="379">
        <f>IF(L20&gt;0,ROUND(+L23+L24,4),0)</f>
        <v>0</v>
      </c>
      <c r="M25" s="378" t="s">
        <v>393</v>
      </c>
      <c r="N25" s="366">
        <f>IF(N20&gt;0,ROUND(+N23+N24,4),0)</f>
        <v>0</v>
      </c>
      <c r="O25" s="340"/>
      <c r="P25" s="341"/>
      <c r="Q25" s="341"/>
      <c r="R25" s="341"/>
      <c r="S25" s="341"/>
      <c r="T25" s="341"/>
      <c r="U25" s="341"/>
      <c r="V25" s="341"/>
      <c r="W25" s="341"/>
      <c r="X25" s="341"/>
      <c r="Y25" s="341"/>
      <c r="Z25" s="341"/>
      <c r="AA25" s="341"/>
      <c r="AB25" s="341"/>
      <c r="AC25" s="341"/>
      <c r="AD25" s="341"/>
      <c r="AE25" s="341"/>
    </row>
    <row r="26" ht="15.75" customHeight="1">
      <c r="A26" s="268"/>
      <c r="B26" s="268"/>
      <c r="C26" s="367" t="s">
        <v>458</v>
      </c>
      <c r="F26" s="384"/>
      <c r="G26" s="384"/>
      <c r="H26" s="368"/>
      <c r="I26" s="342"/>
      <c r="J26" s="268"/>
      <c r="K26" s="369"/>
      <c r="L26" s="385"/>
      <c r="M26" s="367"/>
      <c r="N26" s="371"/>
      <c r="O26" s="340"/>
      <c r="P26" s="341"/>
      <c r="Q26" s="341"/>
      <c r="R26" s="341"/>
      <c r="S26" s="341"/>
      <c r="T26" s="341"/>
      <c r="U26" s="341"/>
      <c r="V26" s="341"/>
      <c r="W26" s="341"/>
      <c r="X26" s="341"/>
      <c r="Y26" s="341"/>
      <c r="Z26" s="341"/>
      <c r="AA26" s="341"/>
      <c r="AB26" s="341"/>
      <c r="AC26" s="341"/>
      <c r="AD26" s="341"/>
      <c r="AE26" s="341"/>
    </row>
    <row r="27" ht="15.75" customHeight="1">
      <c r="A27" s="268"/>
      <c r="B27" s="268"/>
      <c r="C27" s="386"/>
      <c r="D27" s="360" t="s">
        <v>456</v>
      </c>
      <c r="E27" s="360"/>
      <c r="F27" s="360"/>
      <c r="G27" s="360"/>
      <c r="H27" s="360"/>
      <c r="I27" s="361"/>
      <c r="J27" s="362"/>
      <c r="K27" s="365"/>
      <c r="L27" s="364">
        <v>1.158</v>
      </c>
      <c r="M27" s="365"/>
      <c r="N27" s="366">
        <v>1.268</v>
      </c>
      <c r="O27" s="340"/>
      <c r="P27" s="341"/>
      <c r="Q27" s="341"/>
      <c r="R27" s="341"/>
      <c r="S27" s="341"/>
      <c r="T27" s="341"/>
      <c r="U27" s="341"/>
      <c r="V27" s="341"/>
      <c r="W27" s="341"/>
      <c r="X27" s="341"/>
      <c r="Y27" s="341"/>
      <c r="Z27" s="341"/>
      <c r="AA27" s="341"/>
      <c r="AB27" s="341"/>
      <c r="AC27" s="341"/>
      <c r="AD27" s="341"/>
      <c r="AE27" s="341"/>
    </row>
    <row r="28" ht="15.75" customHeight="1">
      <c r="A28" s="268"/>
      <c r="B28" s="268"/>
      <c r="C28" s="27"/>
      <c r="I28" s="342"/>
      <c r="J28" s="268"/>
      <c r="O28" s="340"/>
      <c r="P28" s="341"/>
      <c r="Q28" s="341"/>
      <c r="R28" s="341"/>
      <c r="S28" s="341"/>
      <c r="T28" s="341"/>
      <c r="U28" s="341"/>
      <c r="V28" s="341"/>
      <c r="W28" s="341"/>
      <c r="X28" s="341"/>
      <c r="Y28" s="341"/>
      <c r="Z28" s="341"/>
      <c r="AA28" s="341"/>
      <c r="AB28" s="341"/>
      <c r="AC28" s="341"/>
      <c r="AD28" s="341"/>
      <c r="AE28" s="341"/>
    </row>
    <row r="29" ht="15.75" customHeight="1">
      <c r="A29" s="268"/>
      <c r="B29" s="268"/>
      <c r="C29" s="27"/>
      <c r="I29" s="342"/>
      <c r="J29" s="268"/>
      <c r="O29" s="340"/>
      <c r="P29" s="341"/>
      <c r="Q29" s="341"/>
      <c r="R29" s="341"/>
      <c r="S29" s="341"/>
      <c r="T29" s="341"/>
      <c r="U29" s="341"/>
      <c r="V29" s="341"/>
      <c r="W29" s="341"/>
      <c r="X29" s="341"/>
      <c r="Y29" s="341"/>
      <c r="Z29" s="341"/>
      <c r="AA29" s="341"/>
      <c r="AB29" s="341"/>
      <c r="AC29" s="341"/>
      <c r="AD29" s="341"/>
      <c r="AE29" s="341"/>
    </row>
    <row r="30" ht="15.75" customHeight="1">
      <c r="A30" s="268"/>
      <c r="B30" s="268"/>
      <c r="C30" s="27"/>
      <c r="I30" s="342"/>
      <c r="J30" s="268"/>
      <c r="O30" s="340"/>
      <c r="P30" s="341"/>
      <c r="Q30" s="341"/>
      <c r="R30" s="341"/>
      <c r="S30" s="341"/>
      <c r="T30" s="341"/>
      <c r="U30" s="341"/>
      <c r="V30" s="341"/>
      <c r="W30" s="341"/>
      <c r="X30" s="341"/>
      <c r="Y30" s="341"/>
      <c r="Z30" s="341"/>
      <c r="AA30" s="341"/>
      <c r="AB30" s="341"/>
      <c r="AC30" s="341"/>
      <c r="AD30" s="341"/>
      <c r="AE30" s="341"/>
    </row>
    <row r="31" ht="15.75" customHeight="1">
      <c r="A31" s="268"/>
      <c r="B31" s="268"/>
      <c r="C31" s="387" t="s">
        <v>459</v>
      </c>
      <c r="D31" s="343"/>
      <c r="E31" s="343"/>
      <c r="F31" s="343"/>
      <c r="G31" s="343"/>
      <c r="H31" s="343"/>
      <c r="I31" s="388"/>
      <c r="J31" s="389"/>
      <c r="K31" s="343"/>
      <c r="L31" s="343"/>
      <c r="M31" s="343"/>
      <c r="N31" s="343"/>
      <c r="O31" s="390"/>
      <c r="P31" s="341"/>
      <c r="Q31" s="341"/>
      <c r="R31" s="341"/>
      <c r="S31" s="341"/>
      <c r="T31" s="341"/>
      <c r="U31" s="341"/>
      <c r="V31" s="341"/>
      <c r="W31" s="341"/>
      <c r="X31" s="341"/>
      <c r="Y31" s="341"/>
      <c r="Z31" s="341"/>
      <c r="AA31" s="341"/>
      <c r="AB31" s="341"/>
      <c r="AC31" s="341"/>
      <c r="AD31" s="341"/>
      <c r="AE31" s="341"/>
    </row>
    <row r="32" ht="15.75" customHeight="1">
      <c r="A32" s="268"/>
      <c r="B32" s="268"/>
      <c r="C32" s="348" t="s">
        <v>445</v>
      </c>
      <c r="D32" s="348"/>
      <c r="E32" s="349"/>
      <c r="F32" s="349"/>
      <c r="G32" s="349"/>
      <c r="H32" s="349"/>
      <c r="I32" s="350"/>
      <c r="J32" s="351"/>
      <c r="K32" s="352"/>
      <c r="L32" s="353" t="s">
        <v>386</v>
      </c>
      <c r="M32" s="391"/>
      <c r="N32" s="355" t="s">
        <v>387</v>
      </c>
      <c r="O32" s="340"/>
      <c r="P32" s="341"/>
      <c r="Q32" s="341"/>
      <c r="R32" s="341"/>
      <c r="S32" s="341"/>
      <c r="T32" s="341"/>
      <c r="U32" s="341"/>
      <c r="V32" s="341"/>
      <c r="W32" s="341"/>
      <c r="X32" s="341"/>
      <c r="Y32" s="341"/>
      <c r="Z32" s="341"/>
      <c r="AA32" s="341"/>
      <c r="AB32" s="341"/>
      <c r="AC32" s="341"/>
      <c r="AD32" s="341"/>
      <c r="AE32" s="341"/>
    </row>
    <row r="33" ht="15.75" customHeight="1">
      <c r="A33" s="268"/>
      <c r="B33" s="268"/>
      <c r="C33" s="58" t="s">
        <v>460</v>
      </c>
      <c r="F33" s="356"/>
      <c r="G33" s="356"/>
      <c r="H33" s="356"/>
      <c r="I33" s="342"/>
      <c r="J33" s="268"/>
      <c r="K33" s="58"/>
      <c r="M33" s="58"/>
      <c r="N33" s="14"/>
      <c r="O33" s="340"/>
      <c r="P33" s="341"/>
      <c r="Q33" s="341"/>
      <c r="R33" s="341"/>
      <c r="S33" s="341"/>
      <c r="T33" s="341"/>
      <c r="U33" s="341"/>
      <c r="V33" s="341"/>
      <c r="W33" s="341"/>
      <c r="X33" s="341"/>
      <c r="Y33" s="341"/>
      <c r="Z33" s="341"/>
      <c r="AA33" s="341"/>
      <c r="AB33" s="341"/>
      <c r="AC33" s="341"/>
      <c r="AD33" s="341"/>
      <c r="AE33" s="341"/>
    </row>
    <row r="34" ht="15.75" customHeight="1">
      <c r="A34" s="268"/>
      <c r="B34" s="268"/>
      <c r="C34" s="359"/>
      <c r="D34" s="360" t="s">
        <v>447</v>
      </c>
      <c r="E34" s="360"/>
      <c r="F34" s="360"/>
      <c r="G34" s="360"/>
      <c r="H34" s="360"/>
      <c r="I34" s="361"/>
      <c r="J34" s="362"/>
      <c r="K34" s="365"/>
      <c r="L34" s="364">
        <v>1.399</v>
      </c>
      <c r="M34" s="365"/>
      <c r="N34" s="366">
        <v>1.559</v>
      </c>
      <c r="O34" s="340"/>
      <c r="P34" s="341"/>
      <c r="Q34" s="341"/>
      <c r="R34" s="341"/>
      <c r="S34" s="341"/>
      <c r="T34" s="341"/>
      <c r="U34" s="341"/>
      <c r="V34" s="341"/>
      <c r="W34" s="341"/>
      <c r="X34" s="341"/>
      <c r="Y34" s="341"/>
      <c r="Z34" s="341"/>
      <c r="AA34" s="341"/>
      <c r="AB34" s="341"/>
      <c r="AC34" s="341"/>
      <c r="AD34" s="341"/>
      <c r="AE34" s="341"/>
    </row>
    <row r="35" ht="15.75" customHeight="1">
      <c r="A35" s="268"/>
      <c r="B35" s="268"/>
      <c r="C35" s="367" t="s">
        <v>448</v>
      </c>
      <c r="F35" s="368"/>
      <c r="G35" s="368"/>
      <c r="H35" s="368"/>
      <c r="I35" s="342"/>
      <c r="J35" s="268"/>
      <c r="K35" s="392"/>
      <c r="L35" s="370"/>
      <c r="M35" s="58"/>
      <c r="N35" s="371"/>
      <c r="O35" s="340"/>
      <c r="P35" s="341"/>
      <c r="Q35" s="341"/>
      <c r="R35" s="341"/>
      <c r="S35" s="341"/>
      <c r="T35" s="341"/>
      <c r="U35" s="341"/>
      <c r="V35" s="341"/>
      <c r="W35" s="341"/>
      <c r="X35" s="341"/>
      <c r="Y35" s="341"/>
      <c r="Z35" s="341"/>
      <c r="AA35" s="341"/>
      <c r="AB35" s="341"/>
      <c r="AC35" s="341"/>
      <c r="AD35" s="341"/>
      <c r="AE35" s="341"/>
    </row>
    <row r="36" ht="15.75" customHeight="1">
      <c r="A36" s="268"/>
      <c r="B36" s="268"/>
      <c r="C36" s="58"/>
      <c r="D36" s="24" t="s">
        <v>449</v>
      </c>
      <c r="I36" s="342"/>
      <c r="J36" s="268"/>
      <c r="K36" s="246"/>
      <c r="L36" s="382">
        <v>500.0</v>
      </c>
      <c r="M36" s="187"/>
      <c r="N36" s="376">
        <v>500.0</v>
      </c>
      <c r="O36" s="340"/>
      <c r="P36" s="341"/>
      <c r="Q36" s="341"/>
      <c r="R36" s="341"/>
      <c r="S36" s="341"/>
      <c r="T36" s="341"/>
      <c r="U36" s="341"/>
      <c r="V36" s="341"/>
      <c r="W36" s="341"/>
      <c r="X36" s="341"/>
      <c r="Y36" s="341"/>
      <c r="Z36" s="341"/>
      <c r="AA36" s="341"/>
      <c r="AB36" s="341"/>
      <c r="AC36" s="341"/>
      <c r="AD36" s="341"/>
      <c r="AE36" s="341"/>
    </row>
    <row r="37" ht="15.75" customHeight="1">
      <c r="A37" s="268"/>
      <c r="B37" s="268"/>
      <c r="C37" s="58"/>
      <c r="D37" s="24" t="s">
        <v>450</v>
      </c>
      <c r="I37" s="342"/>
      <c r="J37" s="268"/>
      <c r="K37" s="246" t="s">
        <v>451</v>
      </c>
      <c r="L37" s="375">
        <f>IF('Data Entry'!I29&gt;99.999,IF('Data Entry'!I29&lt;500,'Data Entry'!I29,0),0)</f>
        <v>0</v>
      </c>
      <c r="M37" s="246" t="s">
        <v>451</v>
      </c>
      <c r="N37" s="376">
        <f>IF('Data Entry'!L29&gt;99.999,IF('Data Entry'!L29&lt;500,'Data Entry'!L29,0),0)</f>
        <v>0</v>
      </c>
      <c r="O37" s="340"/>
      <c r="P37" s="341"/>
      <c r="Q37" s="341"/>
      <c r="R37" s="341"/>
      <c r="S37" s="341"/>
      <c r="T37" s="341"/>
      <c r="U37" s="341"/>
      <c r="V37" s="341"/>
      <c r="W37" s="341"/>
      <c r="X37" s="341"/>
      <c r="Y37" s="341"/>
      <c r="Z37" s="341"/>
      <c r="AA37" s="341"/>
      <c r="AB37" s="341"/>
      <c r="AC37" s="341"/>
      <c r="AD37" s="341"/>
      <c r="AE37" s="341"/>
    </row>
    <row r="38" ht="15.75" customHeight="1">
      <c r="A38" s="268"/>
      <c r="B38" s="268"/>
      <c r="C38" s="58"/>
      <c r="D38" s="24" t="s">
        <v>452</v>
      </c>
      <c r="I38" s="342"/>
      <c r="J38" s="268"/>
      <c r="K38" s="246" t="s">
        <v>393</v>
      </c>
      <c r="L38" s="375">
        <f>IF(L37&gt;0,ROUND(+L36-L37,4),0)</f>
        <v>0</v>
      </c>
      <c r="M38" s="246" t="s">
        <v>393</v>
      </c>
      <c r="N38" s="376">
        <f>IF(N37&gt;0,ROUND(+N36-N37,4),0)</f>
        <v>0</v>
      </c>
      <c r="O38" s="340"/>
      <c r="P38" s="341"/>
      <c r="Q38" s="341"/>
      <c r="R38" s="341"/>
      <c r="S38" s="341"/>
      <c r="T38" s="341"/>
      <c r="U38" s="341"/>
      <c r="V38" s="341"/>
      <c r="W38" s="341"/>
      <c r="X38" s="341"/>
      <c r="Y38" s="341"/>
      <c r="Z38" s="341"/>
      <c r="AA38" s="341"/>
      <c r="AB38" s="341"/>
      <c r="AC38" s="341"/>
      <c r="AD38" s="341"/>
      <c r="AE38" s="341"/>
    </row>
    <row r="39" ht="15.75" customHeight="1">
      <c r="A39" s="268"/>
      <c r="B39" s="268"/>
      <c r="C39" s="58"/>
      <c r="D39" s="24" t="s">
        <v>453</v>
      </c>
      <c r="I39" s="342"/>
      <c r="J39" s="268"/>
      <c r="K39" s="246" t="s">
        <v>356</v>
      </c>
      <c r="L39" s="375">
        <v>3.0E-4</v>
      </c>
      <c r="M39" s="246" t="s">
        <v>356</v>
      </c>
      <c r="N39" s="376">
        <v>4.0E-4</v>
      </c>
      <c r="O39" s="340"/>
      <c r="P39" s="341"/>
      <c r="Q39" s="341"/>
      <c r="R39" s="341"/>
      <c r="S39" s="341"/>
      <c r="T39" s="341"/>
      <c r="U39" s="341"/>
      <c r="V39" s="341"/>
      <c r="W39" s="341"/>
      <c r="X39" s="341"/>
      <c r="Y39" s="341"/>
      <c r="Z39" s="341"/>
      <c r="AA39" s="341"/>
      <c r="AB39" s="341"/>
      <c r="AC39" s="341"/>
      <c r="AD39" s="341"/>
      <c r="AE39" s="341"/>
    </row>
    <row r="40" ht="15.75" customHeight="1">
      <c r="A40" s="268"/>
      <c r="B40" s="268"/>
      <c r="C40" s="58"/>
      <c r="D40" s="24" t="s">
        <v>454</v>
      </c>
      <c r="I40" s="342"/>
      <c r="J40" s="268"/>
      <c r="K40" s="246" t="s">
        <v>393</v>
      </c>
      <c r="L40" s="375">
        <f>IF(L37&gt;0,ROUND(L38*L39,4),0)</f>
        <v>0</v>
      </c>
      <c r="M40" s="246" t="s">
        <v>393</v>
      </c>
      <c r="N40" s="376">
        <f>IF(N37&gt;0,ROUND(N38*N39,4),0)</f>
        <v>0</v>
      </c>
      <c r="O40" s="340"/>
      <c r="P40" s="341"/>
      <c r="Q40" s="341"/>
      <c r="R40" s="341"/>
      <c r="S40" s="341"/>
      <c r="T40" s="341"/>
      <c r="U40" s="341"/>
      <c r="V40" s="341"/>
      <c r="W40" s="341"/>
      <c r="X40" s="341"/>
      <c r="Y40" s="341"/>
      <c r="Z40" s="341"/>
      <c r="AA40" s="341"/>
      <c r="AB40" s="341"/>
      <c r="AC40" s="341"/>
      <c r="AD40" s="341"/>
      <c r="AE40" s="341"/>
    </row>
    <row r="41" ht="15.75" customHeight="1">
      <c r="A41" s="268"/>
      <c r="B41" s="268"/>
      <c r="C41" s="58"/>
      <c r="D41" s="24" t="s">
        <v>455</v>
      </c>
      <c r="I41" s="342"/>
      <c r="J41" s="268"/>
      <c r="K41" s="246" t="s">
        <v>390</v>
      </c>
      <c r="L41" s="375">
        <v>1.278</v>
      </c>
      <c r="M41" s="246" t="s">
        <v>390</v>
      </c>
      <c r="N41" s="376">
        <v>1.398</v>
      </c>
      <c r="O41" s="340"/>
      <c r="P41" s="341"/>
      <c r="Q41" s="341"/>
      <c r="R41" s="341"/>
      <c r="S41" s="341"/>
      <c r="T41" s="341"/>
      <c r="U41" s="341"/>
      <c r="V41" s="341"/>
      <c r="W41" s="341"/>
      <c r="X41" s="341"/>
      <c r="Y41" s="341"/>
      <c r="Z41" s="341"/>
      <c r="AA41" s="341"/>
      <c r="AB41" s="341"/>
      <c r="AC41" s="341"/>
      <c r="AD41" s="341"/>
      <c r="AE41" s="341"/>
    </row>
    <row r="42" ht="15.75" customHeight="1">
      <c r="A42" s="268"/>
      <c r="B42" s="268"/>
      <c r="C42" s="359"/>
      <c r="D42" s="360" t="s">
        <v>456</v>
      </c>
      <c r="E42" s="360"/>
      <c r="F42" s="360"/>
      <c r="G42" s="360"/>
      <c r="H42" s="360"/>
      <c r="I42" s="361"/>
      <c r="J42" s="362"/>
      <c r="K42" s="383" t="s">
        <v>393</v>
      </c>
      <c r="L42" s="379">
        <f>IF(L37&gt;0,ROUND(+L40+L41,4),0)</f>
        <v>0</v>
      </c>
      <c r="M42" s="383" t="s">
        <v>393</v>
      </c>
      <c r="N42" s="366">
        <f>IF(N37&gt;0,ROUND(+N40+N41,4),0)</f>
        <v>0</v>
      </c>
      <c r="O42" s="340"/>
      <c r="P42" s="341"/>
      <c r="Q42" s="341"/>
      <c r="R42" s="341"/>
      <c r="S42" s="341"/>
      <c r="T42" s="341"/>
      <c r="U42" s="341"/>
      <c r="V42" s="341"/>
      <c r="W42" s="341"/>
      <c r="X42" s="341"/>
      <c r="Y42" s="341"/>
      <c r="Z42" s="341"/>
      <c r="AA42" s="341"/>
      <c r="AB42" s="341"/>
      <c r="AC42" s="341"/>
      <c r="AD42" s="341"/>
      <c r="AE42" s="341"/>
    </row>
    <row r="43" ht="15.75" customHeight="1">
      <c r="A43" s="268"/>
      <c r="B43" s="268"/>
      <c r="C43" s="367" t="s">
        <v>457</v>
      </c>
      <c r="F43" s="368"/>
      <c r="G43" s="368"/>
      <c r="H43" s="368"/>
      <c r="I43" s="342"/>
      <c r="J43" s="268"/>
      <c r="K43" s="369"/>
      <c r="L43" s="370"/>
      <c r="M43" s="58"/>
      <c r="N43" s="371"/>
      <c r="O43" s="340"/>
      <c r="P43" s="341"/>
      <c r="Q43" s="341"/>
      <c r="R43" s="341"/>
      <c r="S43" s="341"/>
      <c r="T43" s="341"/>
      <c r="U43" s="341"/>
      <c r="V43" s="341"/>
      <c r="W43" s="341"/>
      <c r="X43" s="341"/>
      <c r="Y43" s="341"/>
      <c r="Z43" s="341"/>
      <c r="AA43" s="341"/>
      <c r="AB43" s="341"/>
      <c r="AC43" s="341"/>
      <c r="AD43" s="341"/>
      <c r="AE43" s="341"/>
    </row>
    <row r="44" ht="15.75" customHeight="1">
      <c r="A44" s="268"/>
      <c r="B44" s="268"/>
      <c r="C44" s="58"/>
      <c r="D44" s="24" t="s">
        <v>449</v>
      </c>
      <c r="I44" s="342"/>
      <c r="J44" s="268"/>
      <c r="K44" s="246"/>
      <c r="L44" s="382">
        <v>600.0</v>
      </c>
      <c r="M44" s="187"/>
      <c r="N44" s="376">
        <v>600.0</v>
      </c>
      <c r="O44" s="340"/>
      <c r="P44" s="341"/>
      <c r="Q44" s="341"/>
      <c r="R44" s="341"/>
      <c r="S44" s="341"/>
      <c r="T44" s="341"/>
      <c r="U44" s="341"/>
      <c r="V44" s="341"/>
      <c r="W44" s="341"/>
      <c r="X44" s="341"/>
      <c r="Y44" s="341"/>
      <c r="Z44" s="341"/>
      <c r="AA44" s="341"/>
      <c r="AB44" s="341"/>
      <c r="AC44" s="341"/>
      <c r="AD44" s="341"/>
      <c r="AE44" s="341"/>
    </row>
    <row r="45" ht="15.75" customHeight="1">
      <c r="A45" s="268"/>
      <c r="B45" s="268"/>
      <c r="C45" s="58"/>
      <c r="D45" s="24" t="s">
        <v>450</v>
      </c>
      <c r="I45" s="342"/>
      <c r="J45" s="268"/>
      <c r="K45" s="246" t="s">
        <v>451</v>
      </c>
      <c r="L45" s="375">
        <f>IF('Data Entry'!I29&gt;499.999,IF('Data Entry'!I29&lt;600,'Data Entry'!I29,0),0)</f>
        <v>0</v>
      </c>
      <c r="M45" s="246" t="s">
        <v>451</v>
      </c>
      <c r="N45" s="376">
        <f>IF('Data Entry'!L29&gt;499.999,IF('Data Entry'!L29&lt;600,'Data Entry'!L29,0),0)</f>
        <v>0</v>
      </c>
      <c r="O45" s="340"/>
      <c r="P45" s="341"/>
      <c r="Q45" s="341"/>
      <c r="R45" s="341"/>
      <c r="S45" s="341"/>
      <c r="T45" s="341"/>
      <c r="U45" s="341"/>
      <c r="V45" s="341"/>
      <c r="W45" s="341"/>
      <c r="X45" s="341"/>
      <c r="Y45" s="341"/>
      <c r="Z45" s="341"/>
      <c r="AA45" s="341"/>
      <c r="AB45" s="341"/>
      <c r="AC45" s="341"/>
      <c r="AD45" s="341"/>
      <c r="AE45" s="341"/>
    </row>
    <row r="46" ht="15.75" customHeight="1">
      <c r="A46" s="268"/>
      <c r="B46" s="268"/>
      <c r="C46" s="58"/>
      <c r="D46" s="24" t="s">
        <v>452</v>
      </c>
      <c r="I46" s="342"/>
      <c r="J46" s="268"/>
      <c r="K46" s="246" t="s">
        <v>393</v>
      </c>
      <c r="L46" s="375">
        <f>IF(L45&gt;0,ROUND(+L44-L45,4),0)</f>
        <v>0</v>
      </c>
      <c r="M46" s="246" t="s">
        <v>393</v>
      </c>
      <c r="N46" s="376">
        <f>IF(N45&gt;0,ROUND(+N44-N45,4),0)</f>
        <v>0</v>
      </c>
      <c r="O46" s="340"/>
      <c r="P46" s="341"/>
      <c r="Q46" s="341"/>
      <c r="R46" s="341"/>
      <c r="S46" s="341"/>
      <c r="T46" s="341"/>
      <c r="U46" s="341"/>
      <c r="V46" s="341"/>
      <c r="W46" s="341"/>
      <c r="X46" s="341"/>
      <c r="Y46" s="341"/>
      <c r="Z46" s="341"/>
      <c r="AA46" s="341"/>
      <c r="AB46" s="341"/>
      <c r="AC46" s="341"/>
      <c r="AD46" s="341"/>
      <c r="AE46" s="341"/>
    </row>
    <row r="47" ht="15.75" customHeight="1">
      <c r="A47" s="268"/>
      <c r="B47" s="268"/>
      <c r="C47" s="58"/>
      <c r="D47" s="24" t="s">
        <v>453</v>
      </c>
      <c r="I47" s="342"/>
      <c r="J47" s="268"/>
      <c r="K47" s="246" t="s">
        <v>356</v>
      </c>
      <c r="L47" s="375">
        <v>0.0012</v>
      </c>
      <c r="M47" s="246" t="s">
        <v>356</v>
      </c>
      <c r="N47" s="376">
        <v>0.0013</v>
      </c>
      <c r="O47" s="340"/>
      <c r="P47" s="341"/>
      <c r="Q47" s="341"/>
      <c r="R47" s="341"/>
      <c r="S47" s="341"/>
      <c r="T47" s="341"/>
      <c r="U47" s="341"/>
      <c r="V47" s="341"/>
      <c r="W47" s="341"/>
      <c r="X47" s="341"/>
      <c r="Y47" s="341"/>
      <c r="Z47" s="341"/>
      <c r="AA47" s="341"/>
      <c r="AB47" s="341"/>
      <c r="AC47" s="341"/>
      <c r="AD47" s="341"/>
      <c r="AE47" s="341"/>
    </row>
    <row r="48" ht="15.75" customHeight="1">
      <c r="A48" s="268"/>
      <c r="B48" s="268"/>
      <c r="C48" s="58"/>
      <c r="D48" s="24" t="s">
        <v>454</v>
      </c>
      <c r="I48" s="342"/>
      <c r="J48" s="268"/>
      <c r="K48" s="246" t="s">
        <v>393</v>
      </c>
      <c r="L48" s="375">
        <f>IF(L45&gt;0,ROUND(L46*L47,4),0)</f>
        <v>0</v>
      </c>
      <c r="M48" s="246" t="s">
        <v>393</v>
      </c>
      <c r="N48" s="376">
        <f>IF(N45&gt;0,ROUND(N46*N47,4),0)</f>
        <v>0</v>
      </c>
      <c r="O48" s="340"/>
      <c r="P48" s="341"/>
      <c r="Q48" s="341"/>
      <c r="R48" s="341"/>
      <c r="S48" s="341"/>
      <c r="T48" s="341"/>
      <c r="U48" s="341"/>
      <c r="V48" s="341"/>
      <c r="W48" s="341"/>
      <c r="X48" s="341"/>
      <c r="Y48" s="341"/>
      <c r="Z48" s="341"/>
      <c r="AA48" s="341"/>
      <c r="AB48" s="341"/>
      <c r="AC48" s="341"/>
      <c r="AD48" s="341"/>
      <c r="AE48" s="341"/>
    </row>
    <row r="49" ht="15.75" customHeight="1">
      <c r="A49" s="268"/>
      <c r="B49" s="268"/>
      <c r="C49" s="58"/>
      <c r="D49" s="24" t="s">
        <v>455</v>
      </c>
      <c r="I49" s="342"/>
      <c r="J49" s="268"/>
      <c r="K49" s="246" t="s">
        <v>390</v>
      </c>
      <c r="L49" s="375">
        <v>1.158</v>
      </c>
      <c r="M49" s="246" t="s">
        <v>390</v>
      </c>
      <c r="N49" s="376">
        <v>1.268</v>
      </c>
      <c r="O49" s="340"/>
      <c r="P49" s="341"/>
      <c r="Q49" s="341"/>
      <c r="R49" s="341"/>
      <c r="S49" s="341"/>
      <c r="T49" s="341"/>
      <c r="U49" s="341"/>
      <c r="V49" s="341"/>
      <c r="W49" s="341"/>
      <c r="X49" s="341"/>
      <c r="Y49" s="341"/>
      <c r="Z49" s="341"/>
      <c r="AA49" s="341"/>
      <c r="AB49" s="341"/>
      <c r="AC49" s="341"/>
      <c r="AD49" s="341"/>
      <c r="AE49" s="341"/>
    </row>
    <row r="50" ht="15.75" customHeight="1">
      <c r="A50" s="268"/>
      <c r="B50" s="268"/>
      <c r="C50" s="359"/>
      <c r="D50" s="360" t="s">
        <v>456</v>
      </c>
      <c r="E50" s="360"/>
      <c r="F50" s="360"/>
      <c r="G50" s="360"/>
      <c r="H50" s="360"/>
      <c r="I50" s="361"/>
      <c r="J50" s="362"/>
      <c r="K50" s="383" t="s">
        <v>393</v>
      </c>
      <c r="L50" s="379">
        <f>IF(L45&gt;0,ROUND(+L48+L49,4),0)</f>
        <v>0</v>
      </c>
      <c r="M50" s="383" t="s">
        <v>393</v>
      </c>
      <c r="N50" s="366">
        <f>IF(N45&gt;0,ROUND(+N48+N49,4),0)</f>
        <v>0</v>
      </c>
      <c r="O50" s="340"/>
      <c r="P50" s="341"/>
      <c r="Q50" s="341"/>
      <c r="R50" s="341"/>
      <c r="S50" s="341"/>
      <c r="T50" s="341"/>
      <c r="U50" s="341"/>
      <c r="V50" s="341"/>
      <c r="W50" s="341"/>
      <c r="X50" s="341"/>
      <c r="Y50" s="341"/>
      <c r="Z50" s="341"/>
      <c r="AA50" s="341"/>
      <c r="AB50" s="341"/>
      <c r="AC50" s="341"/>
      <c r="AD50" s="341"/>
      <c r="AE50" s="341"/>
    </row>
    <row r="51" ht="15.75" customHeight="1">
      <c r="A51" s="268"/>
      <c r="B51" s="268"/>
      <c r="C51" s="367" t="s">
        <v>458</v>
      </c>
      <c r="F51" s="384"/>
      <c r="G51" s="384"/>
      <c r="H51" s="368"/>
      <c r="I51" s="342"/>
      <c r="J51" s="268"/>
      <c r="K51" s="369"/>
      <c r="L51" s="381"/>
      <c r="M51" s="58"/>
      <c r="N51" s="371"/>
      <c r="O51" s="340"/>
      <c r="P51" s="341"/>
      <c r="Q51" s="341"/>
      <c r="R51" s="341"/>
      <c r="S51" s="341"/>
      <c r="T51" s="341"/>
      <c r="U51" s="341"/>
      <c r="V51" s="341"/>
      <c r="W51" s="341"/>
      <c r="X51" s="341"/>
      <c r="Y51" s="341"/>
      <c r="Z51" s="341"/>
      <c r="AA51" s="341"/>
      <c r="AB51" s="341"/>
      <c r="AC51" s="341"/>
      <c r="AD51" s="341"/>
      <c r="AE51" s="341"/>
    </row>
    <row r="52" ht="15.75" customHeight="1">
      <c r="A52" s="268"/>
      <c r="B52" s="268"/>
      <c r="C52" s="386"/>
      <c r="D52" s="360" t="s">
        <v>456</v>
      </c>
      <c r="E52" s="360"/>
      <c r="F52" s="360"/>
      <c r="G52" s="360"/>
      <c r="H52" s="360"/>
      <c r="I52" s="361"/>
      <c r="J52" s="362"/>
      <c r="K52" s="365"/>
      <c r="L52" s="364">
        <v>1.158</v>
      </c>
      <c r="M52" s="393"/>
      <c r="N52" s="366">
        <v>1.268</v>
      </c>
      <c r="O52" s="340"/>
      <c r="P52" s="341"/>
      <c r="Q52" s="341"/>
      <c r="R52" s="341"/>
      <c r="S52" s="341"/>
      <c r="T52" s="341"/>
      <c r="U52" s="341"/>
      <c r="V52" s="341"/>
      <c r="W52" s="341"/>
      <c r="X52" s="341"/>
      <c r="Y52" s="341"/>
      <c r="Z52" s="341"/>
      <c r="AA52" s="341"/>
      <c r="AB52" s="341"/>
      <c r="AC52" s="341"/>
      <c r="AD52" s="341"/>
      <c r="AE52" s="341"/>
    </row>
    <row r="53" ht="15.75" customHeight="1">
      <c r="A53" s="268"/>
      <c r="B53" s="268"/>
      <c r="C53" s="268"/>
      <c r="D53" s="268"/>
      <c r="E53" s="342"/>
      <c r="F53" s="342"/>
      <c r="G53" s="342"/>
      <c r="H53" s="268"/>
      <c r="I53" s="342"/>
      <c r="J53" s="268"/>
      <c r="K53" s="268"/>
      <c r="L53" s="340"/>
      <c r="M53" s="340"/>
      <c r="N53" s="268"/>
      <c r="O53" s="340"/>
      <c r="P53" s="341"/>
      <c r="Q53" s="341"/>
      <c r="R53" s="341"/>
      <c r="S53" s="341"/>
      <c r="T53" s="341"/>
      <c r="U53" s="341"/>
      <c r="V53" s="341"/>
      <c r="W53" s="341"/>
      <c r="X53" s="341"/>
      <c r="Y53" s="341"/>
      <c r="Z53" s="341"/>
      <c r="AA53" s="341"/>
      <c r="AB53" s="341"/>
      <c r="AC53" s="341"/>
      <c r="AD53" s="341"/>
      <c r="AE53" s="341"/>
    </row>
    <row r="54" ht="15.75" customHeight="1">
      <c r="A54" s="268"/>
      <c r="B54" s="268"/>
      <c r="C54" s="268"/>
      <c r="D54" s="268"/>
      <c r="E54" s="342"/>
      <c r="F54" s="342"/>
      <c r="G54" s="342"/>
      <c r="H54" s="268"/>
      <c r="I54" s="342"/>
      <c r="J54" s="268"/>
      <c r="K54" s="268"/>
      <c r="L54" s="340"/>
      <c r="M54" s="340"/>
      <c r="N54" s="268"/>
      <c r="O54" s="340"/>
      <c r="P54" s="341"/>
      <c r="Q54" s="341"/>
      <c r="R54" s="341"/>
      <c r="S54" s="341"/>
      <c r="T54" s="341"/>
      <c r="U54" s="341"/>
      <c r="V54" s="341"/>
      <c r="W54" s="341"/>
      <c r="X54" s="341"/>
      <c r="Y54" s="341"/>
      <c r="Z54" s="341"/>
      <c r="AA54" s="341"/>
      <c r="AB54" s="341"/>
      <c r="AC54" s="341"/>
      <c r="AD54" s="341"/>
      <c r="AE54" s="341"/>
    </row>
    <row r="55" ht="15.75" customHeight="1">
      <c r="A55" s="268"/>
      <c r="B55" s="268"/>
      <c r="C55" s="268"/>
      <c r="D55" s="268"/>
      <c r="E55" s="342"/>
      <c r="F55" s="342"/>
      <c r="G55" s="342"/>
      <c r="H55" s="268"/>
      <c r="I55" s="342"/>
      <c r="J55" s="268"/>
      <c r="K55" s="268"/>
      <c r="L55" s="340"/>
      <c r="M55" s="340"/>
      <c r="N55" s="268"/>
      <c r="O55" s="340"/>
      <c r="P55" s="341"/>
      <c r="Q55" s="341"/>
      <c r="R55" s="341"/>
      <c r="S55" s="341"/>
      <c r="T55" s="341"/>
      <c r="U55" s="341"/>
      <c r="V55" s="341"/>
      <c r="W55" s="341"/>
      <c r="X55" s="341"/>
      <c r="Y55" s="341"/>
      <c r="Z55" s="341"/>
      <c r="AA55" s="341"/>
      <c r="AB55" s="341"/>
      <c r="AC55" s="341"/>
      <c r="AD55" s="341"/>
      <c r="AE55" s="341"/>
    </row>
    <row r="56" ht="15.75" customHeight="1">
      <c r="A56" s="268"/>
      <c r="B56" s="50" t="s">
        <v>461</v>
      </c>
      <c r="C56" s="50"/>
      <c r="G56" s="342"/>
      <c r="H56" s="268"/>
      <c r="I56" s="342"/>
      <c r="J56" s="268"/>
      <c r="K56" s="268"/>
      <c r="L56" s="340"/>
      <c r="M56" s="340"/>
      <c r="N56" s="268"/>
      <c r="O56" s="340"/>
      <c r="P56" s="341"/>
      <c r="Q56" s="341"/>
      <c r="R56" s="341"/>
      <c r="S56" s="341"/>
      <c r="T56" s="341"/>
      <c r="U56" s="341"/>
      <c r="V56" s="341"/>
      <c r="W56" s="341"/>
      <c r="X56" s="341"/>
      <c r="Y56" s="341"/>
      <c r="Z56" s="341"/>
      <c r="AA56" s="341"/>
      <c r="AB56" s="341"/>
      <c r="AC56" s="341"/>
      <c r="AD56" s="341"/>
      <c r="AE56" s="341"/>
    </row>
    <row r="57" ht="15.75" customHeight="1">
      <c r="A57" s="268"/>
      <c r="B57" s="394">
        <v>1.0</v>
      </c>
      <c r="C57" s="24" t="s">
        <v>462</v>
      </c>
      <c r="G57" s="342"/>
      <c r="H57" s="268"/>
      <c r="I57" s="342"/>
      <c r="J57" s="268"/>
      <c r="K57" s="268"/>
      <c r="L57" s="372">
        <f>IF('Data Entry'!I20&gt;0,IF('Data Entry'!I20&lt;100,L9,IF('Data Entry'!I20&lt;500,L17,IF('Data Entry'!I20&lt;600,L25,L27))),0)</f>
        <v>1.386</v>
      </c>
      <c r="M57" s="340"/>
      <c r="N57" s="372">
        <f>IF('Data Entry'!L20&gt;0,IF('Data Entry'!L20&lt;100,N9,IF('Data Entry'!L20&lt;500,N17,IF('Data Entry'!L20&lt;600,N25,N27))),0)</f>
        <v>1.446</v>
      </c>
      <c r="O57" s="340"/>
      <c r="P57" s="341"/>
      <c r="Q57" s="341"/>
      <c r="R57" s="341"/>
      <c r="S57" s="341"/>
      <c r="T57" s="341"/>
      <c r="U57" s="341"/>
      <c r="V57" s="341"/>
      <c r="W57" s="341"/>
      <c r="X57" s="341"/>
      <c r="Y57" s="341"/>
      <c r="Z57" s="341"/>
      <c r="AA57" s="341"/>
      <c r="AB57" s="341"/>
      <c r="AC57" s="341"/>
      <c r="AD57" s="341"/>
      <c r="AE57" s="341"/>
    </row>
    <row r="58" ht="15.75" customHeight="1">
      <c r="A58" s="268"/>
      <c r="B58" s="394">
        <v>2.0</v>
      </c>
      <c r="C58" s="24" t="s">
        <v>463</v>
      </c>
      <c r="G58" s="342"/>
      <c r="H58" s="268"/>
      <c r="I58" s="342"/>
      <c r="J58" s="268"/>
      <c r="K58" s="268"/>
      <c r="L58" s="372">
        <f>IF(AND('Data Entry'!I29=0,'Data Entry'!$A$6="X"),1.158,IF('Data Entry'!I29&gt;0,IF('Data Entry'!I29&lt;100,L34,IF('Data Entry'!I29&lt;500,L42,IF('Data Entry'!I29&lt;600,L50,L52))),0))</f>
        <v>0</v>
      </c>
      <c r="M58" s="340"/>
      <c r="N58" s="372">
        <f>IF(AND('Data Entry'!L29=0,'Data Entry'!$A$6="X"),1.268,IF('Data Entry'!L29&gt;0,IF('Data Entry'!L29&lt;100,N34,IF('Data Entry'!L29&lt;500,N42,IF('Data Entry'!L29&lt;600,N50,N52))),0))</f>
        <v>0</v>
      </c>
      <c r="O58" s="340"/>
      <c r="P58" s="341"/>
      <c r="Q58" s="341"/>
      <c r="R58" s="341"/>
      <c r="S58" s="341"/>
      <c r="T58" s="341"/>
      <c r="U58" s="341"/>
      <c r="V58" s="341"/>
      <c r="W58" s="341"/>
      <c r="X58" s="341"/>
      <c r="Y58" s="341"/>
      <c r="Z58" s="341"/>
      <c r="AA58" s="341"/>
      <c r="AB58" s="341"/>
      <c r="AC58" s="341"/>
      <c r="AD58" s="341"/>
      <c r="AE58" s="341"/>
    </row>
    <row r="59" ht="15.75" customHeight="1">
      <c r="A59" s="268"/>
      <c r="B59" s="394">
        <v>3.0</v>
      </c>
      <c r="C59" s="395" t="s">
        <v>464</v>
      </c>
      <c r="D59" s="396"/>
      <c r="E59" s="396"/>
      <c r="F59" s="396"/>
      <c r="G59" s="397"/>
      <c r="H59" s="398"/>
      <c r="I59" s="397"/>
      <c r="J59" s="398"/>
      <c r="K59" s="398"/>
      <c r="L59" s="372">
        <f>IF(StudCntK8CY=0,0,IF(OR('Data Entry'!B8="X",'Data Entry'!B9="X",'Data Entry'!B10="X",'Data Entry'!B11="X"),Calculations!L58,Calculations!L57))</f>
        <v>1.386</v>
      </c>
      <c r="M59" s="399"/>
      <c r="N59" s="372">
        <f>IF(StudCnt912CY=0,0,IF(OR('Data Entry'!B8="X",'Data Entry'!B9="X",'Data Entry'!B10="X",'Data Entry'!B11="X"),Calculations!N58,Calculations!N57))</f>
        <v>1.446</v>
      </c>
      <c r="O59" s="340"/>
      <c r="P59" s="341"/>
      <c r="Q59" s="341"/>
      <c r="R59" s="341"/>
      <c r="S59" s="341"/>
      <c r="T59" s="341"/>
      <c r="U59" s="341"/>
      <c r="V59" s="341"/>
      <c r="W59" s="341"/>
      <c r="X59" s="341"/>
      <c r="Y59" s="341"/>
      <c r="Z59" s="341"/>
      <c r="AA59" s="341"/>
      <c r="AB59" s="341"/>
      <c r="AC59" s="341"/>
      <c r="AD59" s="341"/>
      <c r="AE59" s="341"/>
    </row>
    <row r="60" ht="12.0" customHeight="1">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row>
    <row r="61" ht="12.0" customHeight="1">
      <c r="A61" s="50"/>
      <c r="B61" s="341"/>
      <c r="C61" s="50"/>
      <c r="D61" s="50"/>
      <c r="E61" s="50"/>
      <c r="F61" s="5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row>
    <row r="62" ht="12.0" customHeight="1">
      <c r="A62" s="50"/>
      <c r="B62" s="400" t="s">
        <v>465</v>
      </c>
      <c r="C62" s="50"/>
      <c r="D62" s="50"/>
      <c r="E62" s="50"/>
      <c r="F62" s="50"/>
      <c r="G62" s="341"/>
      <c r="H62" s="341"/>
      <c r="I62" s="341"/>
      <c r="J62" s="341"/>
      <c r="K62" s="341"/>
      <c r="L62" s="341"/>
      <c r="M62" s="341"/>
      <c r="N62" s="341"/>
      <c r="O62" s="341"/>
      <c r="P62" s="341"/>
      <c r="Q62" s="341"/>
      <c r="R62" s="341"/>
      <c r="S62" s="341"/>
      <c r="T62" s="4"/>
    </row>
    <row r="63" ht="12.75" customHeight="1">
      <c r="A63" s="341"/>
      <c r="B63" s="401" t="s">
        <v>466</v>
      </c>
      <c r="C63" s="148"/>
      <c r="D63" s="148"/>
      <c r="E63" s="148"/>
      <c r="F63" s="148"/>
      <c r="G63" s="148"/>
      <c r="H63" s="148"/>
      <c r="I63" s="148"/>
      <c r="J63" s="148"/>
      <c r="K63" s="148"/>
      <c r="L63" s="148"/>
      <c r="M63" s="148"/>
      <c r="N63" s="148"/>
      <c r="O63" s="149"/>
      <c r="P63" s="402"/>
      <c r="Q63" s="341"/>
      <c r="R63" s="341"/>
      <c r="S63" s="341"/>
      <c r="T63" s="341"/>
      <c r="U63" s="341"/>
      <c r="V63" s="341"/>
      <c r="W63" s="341"/>
      <c r="X63" s="341"/>
      <c r="Y63" s="341"/>
      <c r="Z63" s="341"/>
      <c r="AA63" s="341"/>
      <c r="AB63" s="341"/>
      <c r="AC63" s="341"/>
      <c r="AD63" s="341"/>
      <c r="AE63" s="341"/>
    </row>
    <row r="64" ht="12.75" customHeight="1">
      <c r="A64" s="341"/>
      <c r="B64" s="403"/>
      <c r="O64" s="404"/>
      <c r="P64" s="402"/>
      <c r="Q64" s="341"/>
      <c r="R64" s="341"/>
      <c r="S64" s="341"/>
      <c r="T64" s="341"/>
      <c r="U64" s="341"/>
      <c r="V64" s="341"/>
      <c r="W64" s="341"/>
      <c r="X64" s="341"/>
      <c r="Y64" s="341"/>
      <c r="Z64" s="341"/>
      <c r="AA64" s="341"/>
      <c r="AB64" s="341"/>
      <c r="AC64" s="341"/>
      <c r="AD64" s="341"/>
      <c r="AE64" s="341"/>
    </row>
    <row r="65" ht="12.75" customHeight="1">
      <c r="A65" s="341"/>
      <c r="B65" s="403"/>
      <c r="O65" s="404"/>
      <c r="P65" s="402"/>
      <c r="Q65" s="341"/>
      <c r="R65" s="341"/>
      <c r="S65" s="341"/>
      <c r="T65" s="341"/>
      <c r="U65" s="341"/>
      <c r="V65" s="341"/>
      <c r="W65" s="341"/>
      <c r="X65" s="341"/>
      <c r="Y65" s="341"/>
      <c r="Z65" s="341"/>
      <c r="AA65" s="341"/>
      <c r="AB65" s="341"/>
      <c r="AC65" s="341"/>
      <c r="AD65" s="341"/>
      <c r="AE65" s="341"/>
    </row>
    <row r="66" ht="12.75" customHeight="1">
      <c r="A66" s="341"/>
      <c r="B66" s="403"/>
      <c r="O66" s="404"/>
      <c r="P66" s="402"/>
      <c r="Q66" s="341"/>
      <c r="R66" s="341"/>
      <c r="S66" s="341"/>
      <c r="T66" s="341"/>
      <c r="U66" s="341"/>
      <c r="V66" s="341"/>
      <c r="W66" s="341"/>
      <c r="X66" s="341"/>
      <c r="Y66" s="341"/>
      <c r="Z66" s="341"/>
      <c r="AA66" s="341"/>
      <c r="AB66" s="341"/>
      <c r="AC66" s="341"/>
      <c r="AD66" s="341"/>
      <c r="AE66" s="341"/>
    </row>
    <row r="67" ht="12.75" customHeight="1">
      <c r="A67" s="341"/>
      <c r="B67" s="403"/>
      <c r="O67" s="404"/>
      <c r="P67" s="402"/>
      <c r="Q67" s="341"/>
      <c r="R67" s="341"/>
      <c r="S67" s="341"/>
      <c r="T67" s="341"/>
      <c r="U67" s="341"/>
      <c r="V67" s="341"/>
      <c r="W67" s="341"/>
      <c r="X67" s="341"/>
      <c r="Y67" s="341"/>
      <c r="Z67" s="341"/>
      <c r="AA67" s="341"/>
      <c r="AB67" s="341"/>
      <c r="AC67" s="341"/>
      <c r="AD67" s="341"/>
      <c r="AE67" s="341"/>
    </row>
    <row r="68" ht="18.0" customHeight="1">
      <c r="A68" s="341"/>
      <c r="B68" s="150"/>
      <c r="C68" s="151"/>
      <c r="D68" s="151"/>
      <c r="E68" s="151"/>
      <c r="F68" s="151"/>
      <c r="G68" s="151"/>
      <c r="H68" s="151"/>
      <c r="I68" s="151"/>
      <c r="J68" s="151"/>
      <c r="K68" s="151"/>
      <c r="L68" s="151"/>
      <c r="M68" s="151"/>
      <c r="N68" s="151"/>
      <c r="O68" s="152"/>
      <c r="P68" s="402"/>
      <c r="Q68" s="341"/>
      <c r="R68" s="341"/>
      <c r="S68" s="341"/>
      <c r="T68" s="341"/>
      <c r="U68" s="341"/>
      <c r="V68" s="341"/>
      <c r="W68" s="341"/>
      <c r="X68" s="341"/>
      <c r="Y68" s="341"/>
      <c r="Z68" s="341"/>
      <c r="AA68" s="341"/>
      <c r="AB68" s="341"/>
      <c r="AC68" s="341"/>
      <c r="AD68" s="341"/>
      <c r="AE68" s="341"/>
    </row>
    <row r="69" ht="12.75" customHeight="1">
      <c r="A69" s="341"/>
      <c r="B69" s="405"/>
      <c r="C69" s="405"/>
      <c r="D69" s="405"/>
      <c r="E69" s="405"/>
      <c r="F69" s="405"/>
      <c r="G69" s="405"/>
      <c r="H69" s="405"/>
      <c r="I69" s="405"/>
      <c r="J69" s="405"/>
      <c r="K69" s="405"/>
      <c r="L69" s="405"/>
      <c r="M69" s="405"/>
      <c r="N69" s="405"/>
      <c r="O69" s="405"/>
      <c r="P69" s="402"/>
      <c r="Q69" s="341"/>
      <c r="R69" s="341"/>
      <c r="S69" s="341"/>
      <c r="T69" s="341"/>
      <c r="U69" s="341"/>
      <c r="V69" s="341"/>
      <c r="W69" s="341"/>
      <c r="X69" s="341"/>
      <c r="Y69" s="341"/>
      <c r="Z69" s="341"/>
      <c r="AA69" s="341"/>
      <c r="AB69" s="341"/>
      <c r="AC69" s="341"/>
      <c r="AD69" s="341"/>
      <c r="AE69" s="341"/>
    </row>
    <row r="70" ht="12.0" customHeight="1">
      <c r="A70" s="341"/>
      <c r="B70" s="10" t="s">
        <v>467</v>
      </c>
      <c r="I70" s="341"/>
      <c r="J70" s="341"/>
      <c r="K70" s="341"/>
      <c r="L70" s="341"/>
      <c r="M70" s="10"/>
      <c r="N70" s="406"/>
      <c r="O70" s="341"/>
      <c r="P70" s="341"/>
      <c r="Q70" s="341"/>
      <c r="R70" s="341"/>
      <c r="S70" s="341"/>
      <c r="T70" s="341"/>
      <c r="U70" s="341"/>
      <c r="V70" s="407"/>
      <c r="W70" s="407"/>
      <c r="X70" s="407"/>
      <c r="Y70" s="407"/>
      <c r="Z70" s="407"/>
      <c r="AA70" s="341"/>
      <c r="AB70" s="341"/>
      <c r="AC70" s="341"/>
      <c r="AD70" s="341"/>
      <c r="AE70" s="341"/>
    </row>
    <row r="71" ht="12.75" customHeight="1">
      <c r="A71" s="341"/>
      <c r="E71" s="10"/>
      <c r="F71" s="68" t="s">
        <v>402</v>
      </c>
      <c r="G71" s="69" t="s">
        <v>401</v>
      </c>
      <c r="H71" s="103"/>
      <c r="I71" s="341"/>
      <c r="J71" s="341"/>
      <c r="K71" s="341"/>
      <c r="L71" s="341"/>
      <c r="M71" s="10"/>
      <c r="N71" s="406"/>
      <c r="O71" s="341"/>
      <c r="P71" s="341"/>
      <c r="Q71" s="341"/>
      <c r="R71" s="10"/>
      <c r="S71" s="341"/>
      <c r="T71" s="341"/>
      <c r="U71" s="341"/>
      <c r="V71" s="341"/>
      <c r="W71" s="341"/>
      <c r="X71" s="341"/>
      <c r="Y71" s="341"/>
      <c r="Z71" s="341"/>
      <c r="AA71" s="341"/>
      <c r="AB71" s="341"/>
      <c r="AC71" s="341"/>
      <c r="AD71" s="341"/>
      <c r="AE71" s="341"/>
    </row>
    <row r="72" ht="12.0" customHeight="1">
      <c r="A72" s="341"/>
      <c r="B72" s="24" t="s">
        <v>468</v>
      </c>
      <c r="E72" s="326"/>
      <c r="F72" s="408">
        <f>'Data Entry'!I39*0.06</f>
        <v>0</v>
      </c>
      <c r="G72" s="409">
        <f>'Data Entry'!I38*0.04</f>
        <v>0</v>
      </c>
      <c r="H72" s="410"/>
      <c r="I72" s="341"/>
      <c r="J72" s="341"/>
      <c r="K72" s="341"/>
      <c r="L72" s="341"/>
      <c r="M72" s="341"/>
      <c r="N72" s="411"/>
      <c r="O72" s="341"/>
      <c r="P72" s="341"/>
      <c r="Q72" s="341"/>
      <c r="R72" s="326"/>
      <c r="S72" s="341"/>
      <c r="T72" s="341"/>
      <c r="U72" s="341"/>
      <c r="V72" s="341"/>
      <c r="W72" s="341"/>
      <c r="X72" s="341"/>
      <c r="Y72" s="341"/>
      <c r="Z72" s="341"/>
      <c r="AA72" s="341"/>
      <c r="AB72" s="341"/>
      <c r="AC72" s="341"/>
      <c r="AD72" s="341"/>
      <c r="AE72" s="341"/>
    </row>
    <row r="73" ht="12.75" customHeight="1">
      <c r="A73" s="341"/>
      <c r="B73" s="24" t="s">
        <v>469</v>
      </c>
      <c r="E73" s="326"/>
      <c r="F73" s="408">
        <f>'Data Entry'!J39*0.06*0.95</f>
        <v>0</v>
      </c>
      <c r="G73" s="409">
        <f>'Data Entry'!J38*0.04*0.95</f>
        <v>0</v>
      </c>
      <c r="H73" s="410"/>
      <c r="I73" s="341"/>
      <c r="J73" s="341"/>
      <c r="K73" s="341"/>
      <c r="L73" s="341"/>
      <c r="M73" s="10"/>
      <c r="N73" s="406"/>
      <c r="O73" s="341"/>
      <c r="P73" s="341"/>
      <c r="R73" s="326"/>
      <c r="S73" s="341"/>
      <c r="T73" s="341"/>
      <c r="U73" s="341"/>
      <c r="V73" s="341"/>
      <c r="W73" s="341"/>
      <c r="X73" s="341"/>
      <c r="Y73" s="341"/>
      <c r="Z73" s="341"/>
      <c r="AA73" s="341"/>
      <c r="AB73" s="341"/>
      <c r="AC73" s="341"/>
      <c r="AD73" s="341"/>
      <c r="AE73" s="341"/>
    </row>
    <row r="74" ht="12.75" customHeight="1">
      <c r="A74" s="341"/>
      <c r="B74" s="24" t="s">
        <v>470</v>
      </c>
      <c r="C74" s="41"/>
      <c r="D74" s="41"/>
      <c r="E74" s="326"/>
      <c r="F74" s="408">
        <f>'Data Entry'!K39*0.06*0.85</f>
        <v>0</v>
      </c>
      <c r="G74" s="409">
        <f>'Data Entry'!K38*0.04*0.85</f>
        <v>0</v>
      </c>
      <c r="H74" s="410"/>
      <c r="J74" s="341"/>
      <c r="K74" s="341"/>
      <c r="L74" s="24" t="s">
        <v>402</v>
      </c>
      <c r="M74" s="412" t="s">
        <v>11</v>
      </c>
      <c r="N74" s="337">
        <f>'BSA55'!H50*F75</f>
        <v>0</v>
      </c>
      <c r="O74" s="341"/>
      <c r="P74" s="341"/>
      <c r="Q74" s="10"/>
      <c r="R74" s="326"/>
      <c r="S74" s="341"/>
      <c r="T74" s="341"/>
      <c r="U74" s="341"/>
      <c r="V74" s="341"/>
      <c r="W74" s="341"/>
      <c r="X74" s="341"/>
      <c r="Y74" s="341"/>
      <c r="Z74" s="341"/>
      <c r="AA74" s="341"/>
      <c r="AB74" s="341"/>
      <c r="AC74" s="341"/>
      <c r="AD74" s="341"/>
      <c r="AE74" s="341"/>
    </row>
    <row r="75" ht="12.0" customHeight="1">
      <c r="A75" s="341"/>
      <c r="B75" s="24" t="s">
        <v>334</v>
      </c>
      <c r="C75" s="41"/>
      <c r="D75" s="41"/>
      <c r="E75" s="326"/>
      <c r="F75" s="408">
        <f t="shared" ref="F75:G75" si="1">SUM(F72:F74)</f>
        <v>0</v>
      </c>
      <c r="G75" s="409">
        <f t="shared" si="1"/>
        <v>0</v>
      </c>
      <c r="H75" s="410"/>
      <c r="J75" s="341"/>
      <c r="K75" s="341"/>
      <c r="L75" s="24" t="s">
        <v>401</v>
      </c>
      <c r="M75" s="412" t="s">
        <v>11</v>
      </c>
      <c r="N75" s="413">
        <f>'BSA55'!H50*G75</f>
        <v>0</v>
      </c>
      <c r="O75" s="341"/>
      <c r="Q75" s="326"/>
      <c r="R75" s="326"/>
      <c r="S75" s="341"/>
      <c r="T75" s="341"/>
      <c r="U75" s="341"/>
      <c r="V75" s="341"/>
      <c r="W75" s="341"/>
      <c r="X75" s="341"/>
      <c r="Y75" s="341"/>
      <c r="Z75" s="341"/>
      <c r="AA75" s="341"/>
      <c r="AB75" s="341"/>
      <c r="AC75" s="341"/>
      <c r="AD75" s="341"/>
      <c r="AE75" s="341"/>
    </row>
    <row r="76" ht="12.75" customHeight="1">
      <c r="A76" s="341"/>
      <c r="B76" s="41"/>
      <c r="C76" s="41"/>
      <c r="D76" s="41"/>
      <c r="F76" s="41"/>
      <c r="G76" s="41"/>
      <c r="H76" s="41"/>
      <c r="J76" s="341"/>
      <c r="K76" s="341"/>
      <c r="L76" s="341"/>
      <c r="M76" s="10"/>
      <c r="N76" s="406"/>
      <c r="O76" s="341"/>
      <c r="Q76" s="326"/>
      <c r="R76" s="341"/>
      <c r="S76" s="341"/>
      <c r="T76" s="341"/>
      <c r="U76" s="341"/>
      <c r="V76" s="341"/>
      <c r="W76" s="341"/>
      <c r="X76" s="341"/>
      <c r="Y76" s="341"/>
      <c r="Z76" s="341"/>
      <c r="AA76" s="341"/>
      <c r="AB76" s="341"/>
      <c r="AC76" s="341"/>
      <c r="AD76" s="341"/>
      <c r="AE76" s="341"/>
    </row>
    <row r="77" ht="12.75" customHeight="1">
      <c r="A77" s="414"/>
      <c r="B77" s="415" t="s">
        <v>471</v>
      </c>
      <c r="H77" s="41"/>
      <c r="J77" s="341"/>
      <c r="K77" s="341"/>
      <c r="L77" s="341"/>
      <c r="M77" s="10"/>
      <c r="N77" s="406"/>
      <c r="O77" s="341"/>
      <c r="Q77" s="326"/>
      <c r="R77" s="341"/>
      <c r="S77" s="341"/>
      <c r="T77" s="341"/>
      <c r="U77" s="341"/>
      <c r="V77" s="341"/>
      <c r="W77" s="341"/>
      <c r="X77" s="341"/>
      <c r="Y77" s="341"/>
      <c r="Z77" s="341"/>
      <c r="AA77" s="341"/>
      <c r="AB77" s="341"/>
      <c r="AC77" s="341"/>
      <c r="AD77" s="341"/>
      <c r="AE77" s="341"/>
    </row>
    <row r="78" ht="12.0" customHeight="1">
      <c r="A78" s="141"/>
      <c r="J78" s="341"/>
      <c r="K78" s="341"/>
      <c r="L78" s="341"/>
      <c r="M78" s="10"/>
      <c r="N78" s="406"/>
      <c r="O78" s="341"/>
      <c r="Q78" s="326"/>
      <c r="R78" s="341"/>
      <c r="S78" s="341"/>
      <c r="T78" s="341"/>
      <c r="U78" s="341"/>
      <c r="V78" s="341"/>
      <c r="W78" s="341"/>
      <c r="X78" s="341"/>
      <c r="Y78" s="341"/>
      <c r="Z78" s="341"/>
      <c r="AA78" s="341"/>
      <c r="AB78" s="341"/>
      <c r="AC78" s="341"/>
      <c r="AD78" s="341"/>
      <c r="AE78" s="341"/>
    </row>
    <row r="79" ht="12.75" customHeight="1">
      <c r="A79" s="141"/>
      <c r="B79" s="141"/>
      <c r="C79" s="141"/>
      <c r="D79" s="341"/>
      <c r="E79" s="341"/>
      <c r="F79" s="341"/>
      <c r="G79" s="341"/>
      <c r="H79" s="341"/>
      <c r="I79" s="341"/>
      <c r="J79" s="341"/>
      <c r="K79" s="341"/>
      <c r="L79" s="341"/>
      <c r="M79" s="416"/>
      <c r="N79" s="417"/>
      <c r="O79" s="341"/>
      <c r="P79" s="42"/>
      <c r="S79" s="341"/>
      <c r="T79" s="341"/>
      <c r="U79" s="341"/>
      <c r="V79" s="341"/>
      <c r="W79" s="341"/>
      <c r="X79" s="341"/>
      <c r="Y79" s="341"/>
      <c r="Z79" s="341"/>
      <c r="AA79" s="341"/>
      <c r="AB79" s="341"/>
      <c r="AC79" s="341"/>
      <c r="AD79" s="341"/>
      <c r="AE79" s="341"/>
    </row>
    <row r="80" ht="12.75" customHeight="1">
      <c r="A80" s="141"/>
      <c r="B80" s="141"/>
      <c r="C80" s="141"/>
      <c r="E80" s="341"/>
      <c r="F80" s="16"/>
      <c r="J80" s="341"/>
      <c r="K80" s="341"/>
      <c r="M80" s="10"/>
      <c r="N80" s="336"/>
      <c r="O80" s="341"/>
      <c r="S80" s="341"/>
      <c r="T80" s="341"/>
      <c r="U80" s="341"/>
      <c r="V80" s="341"/>
      <c r="W80" s="341"/>
      <c r="X80" s="341"/>
      <c r="Y80" s="341"/>
      <c r="Z80" s="341"/>
      <c r="AA80" s="341"/>
      <c r="AB80" s="341"/>
      <c r="AC80" s="341"/>
      <c r="AD80" s="341"/>
      <c r="AE80" s="341"/>
    </row>
    <row r="81" ht="12.0" customHeight="1">
      <c r="A81" s="141"/>
      <c r="B81" s="141"/>
      <c r="C81" s="141"/>
      <c r="D81" s="341"/>
      <c r="E81" s="341"/>
      <c r="F81" s="341"/>
      <c r="G81" s="341"/>
      <c r="H81" s="341"/>
      <c r="I81" s="341"/>
      <c r="J81" s="341"/>
      <c r="K81" s="341"/>
      <c r="M81" s="10"/>
      <c r="N81" s="336"/>
      <c r="O81" s="341"/>
      <c r="P81" s="42"/>
      <c r="Q81" s="42"/>
      <c r="R81" s="42"/>
      <c r="S81" s="341"/>
      <c r="T81" s="341"/>
      <c r="U81" s="341"/>
      <c r="V81" s="341"/>
      <c r="W81" s="341"/>
      <c r="X81" s="341"/>
      <c r="Y81" s="341"/>
      <c r="Z81" s="341"/>
      <c r="AA81" s="341"/>
      <c r="AB81" s="341"/>
      <c r="AC81" s="341"/>
      <c r="AD81" s="341"/>
      <c r="AE81" s="341"/>
    </row>
    <row r="82" ht="12.0" customHeight="1">
      <c r="A82" s="141"/>
      <c r="B82" s="141"/>
      <c r="C82" s="141"/>
      <c r="D82" s="341"/>
      <c r="E82" s="341"/>
      <c r="F82" s="341"/>
      <c r="G82" s="341"/>
      <c r="H82" s="341"/>
      <c r="I82" s="341"/>
      <c r="J82" s="341"/>
      <c r="K82" s="341"/>
      <c r="M82" s="10"/>
      <c r="N82" s="417"/>
      <c r="O82" s="341"/>
      <c r="P82" s="42"/>
      <c r="Q82" s="42"/>
      <c r="R82" s="42"/>
      <c r="S82" s="341"/>
      <c r="T82" s="341"/>
      <c r="U82" s="341"/>
      <c r="V82" s="341"/>
      <c r="W82" s="341"/>
      <c r="X82" s="341"/>
      <c r="Y82" s="341"/>
      <c r="Z82" s="341"/>
      <c r="AA82" s="341"/>
      <c r="AB82" s="341"/>
      <c r="AC82" s="341"/>
      <c r="AD82" s="341"/>
      <c r="AE82" s="341"/>
    </row>
    <row r="83" ht="12.0" customHeight="1">
      <c r="A83" s="50" t="s">
        <v>440</v>
      </c>
      <c r="B83" s="50"/>
      <c r="C83" s="50"/>
      <c r="D83" s="50"/>
      <c r="E83" s="50"/>
      <c r="F83" s="50"/>
      <c r="G83" s="50"/>
      <c r="H83" s="50"/>
      <c r="I83" s="50"/>
      <c r="J83" s="50"/>
      <c r="K83" s="50"/>
      <c r="L83" s="50"/>
      <c r="M83" s="341"/>
      <c r="N83" s="406"/>
      <c r="O83" s="341"/>
      <c r="P83" s="341"/>
      <c r="Q83" s="341"/>
      <c r="R83" s="341"/>
      <c r="S83" s="341"/>
      <c r="T83" s="341"/>
      <c r="U83" s="341"/>
      <c r="V83" s="341"/>
      <c r="W83" s="418"/>
      <c r="X83" s="341"/>
      <c r="Y83" s="341"/>
      <c r="Z83" s="341"/>
      <c r="AA83" s="341"/>
      <c r="AB83" s="341"/>
      <c r="AC83" s="341"/>
      <c r="AD83" s="341"/>
      <c r="AE83" s="341"/>
    </row>
    <row r="84" ht="12.75" customHeight="1">
      <c r="A84" s="419" t="s">
        <v>472</v>
      </c>
      <c r="B84" s="148"/>
      <c r="C84" s="148"/>
      <c r="D84" s="148"/>
      <c r="E84" s="148"/>
      <c r="F84" s="148"/>
      <c r="G84" s="148"/>
      <c r="H84" s="148"/>
      <c r="I84" s="148"/>
      <c r="J84" s="148"/>
      <c r="K84" s="148"/>
      <c r="L84" s="148"/>
      <c r="M84" s="148"/>
      <c r="N84" s="148"/>
      <c r="O84" s="149"/>
      <c r="P84" s="341"/>
      <c r="Q84" s="341"/>
      <c r="R84" s="341"/>
      <c r="S84" s="341"/>
      <c r="T84" s="341"/>
      <c r="U84" s="341"/>
      <c r="V84" s="341"/>
      <c r="W84" s="418"/>
      <c r="X84" s="341"/>
      <c r="Y84" s="341"/>
      <c r="Z84" s="341"/>
      <c r="AA84" s="341"/>
      <c r="AB84" s="341"/>
      <c r="AC84" s="341"/>
      <c r="AD84" s="341"/>
      <c r="AE84" s="341"/>
    </row>
    <row r="85" ht="12.75" customHeight="1">
      <c r="A85" s="403"/>
      <c r="O85" s="404"/>
      <c r="P85" s="341"/>
      <c r="Q85" s="341"/>
      <c r="R85" s="341"/>
      <c r="S85" s="341"/>
      <c r="T85" s="341"/>
      <c r="U85" s="341"/>
      <c r="V85" s="341"/>
      <c r="W85" s="418"/>
      <c r="X85" s="341"/>
      <c r="Y85" s="341"/>
      <c r="Z85" s="341"/>
      <c r="AA85" s="341"/>
      <c r="AB85" s="341"/>
      <c r="AC85" s="341"/>
      <c r="AD85" s="341"/>
      <c r="AE85" s="341"/>
    </row>
    <row r="86" ht="12.75" customHeight="1">
      <c r="A86" s="403"/>
      <c r="O86" s="404"/>
      <c r="P86" s="341"/>
      <c r="Q86" s="341"/>
      <c r="R86" s="341"/>
      <c r="S86" s="341"/>
      <c r="T86" s="341"/>
      <c r="U86" s="341"/>
      <c r="V86" s="341"/>
      <c r="W86" s="418"/>
      <c r="X86" s="341"/>
      <c r="Y86" s="341"/>
      <c r="Z86" s="341"/>
      <c r="AA86" s="341"/>
      <c r="AB86" s="341"/>
      <c r="AC86" s="341"/>
      <c r="AD86" s="341"/>
      <c r="AE86" s="341"/>
    </row>
    <row r="87" ht="12.75" customHeight="1">
      <c r="A87" s="150"/>
      <c r="B87" s="151"/>
      <c r="C87" s="151"/>
      <c r="D87" s="151"/>
      <c r="E87" s="151"/>
      <c r="F87" s="151"/>
      <c r="G87" s="151"/>
      <c r="H87" s="151"/>
      <c r="I87" s="151"/>
      <c r="J87" s="151"/>
      <c r="K87" s="151"/>
      <c r="L87" s="151"/>
      <c r="M87" s="151"/>
      <c r="N87" s="151"/>
      <c r="O87" s="152"/>
      <c r="P87" s="341"/>
      <c r="Q87" s="341"/>
      <c r="R87" s="341"/>
      <c r="S87" s="341"/>
      <c r="T87" s="341"/>
      <c r="U87" s="341"/>
      <c r="V87" s="341"/>
      <c r="W87" s="418"/>
      <c r="X87" s="341"/>
      <c r="Y87" s="341"/>
      <c r="Z87" s="341"/>
      <c r="AA87" s="341"/>
      <c r="AB87" s="341"/>
      <c r="AC87" s="341"/>
      <c r="AD87" s="341"/>
      <c r="AE87" s="341"/>
    </row>
    <row r="88" ht="12.0" customHeight="1">
      <c r="A88" s="1"/>
      <c r="B88" s="1"/>
      <c r="C88" s="1"/>
      <c r="D88" s="1"/>
      <c r="E88" s="1"/>
      <c r="F88" s="1"/>
      <c r="G88" s="1"/>
      <c r="H88" s="1"/>
      <c r="I88" s="1"/>
      <c r="J88" s="1"/>
      <c r="K88" s="1"/>
      <c r="L88" s="1"/>
      <c r="M88" s="341"/>
      <c r="N88" s="406"/>
      <c r="O88" s="341"/>
      <c r="P88" s="341"/>
      <c r="Q88" s="341"/>
      <c r="R88" s="341"/>
      <c r="S88" s="341"/>
      <c r="T88" s="341"/>
      <c r="U88" s="341"/>
      <c r="V88" s="341"/>
      <c r="W88" s="418"/>
      <c r="X88" s="341"/>
      <c r="Y88" s="341"/>
      <c r="Z88" s="341"/>
      <c r="AA88" s="341"/>
      <c r="AB88" s="341"/>
      <c r="AC88" s="341"/>
      <c r="AD88" s="341"/>
      <c r="AE88" s="341"/>
    </row>
    <row r="89" ht="12.0" customHeight="1">
      <c r="A89" s="341"/>
      <c r="B89" s="420" t="s">
        <v>473</v>
      </c>
      <c r="C89" s="24" t="s">
        <v>474</v>
      </c>
      <c r="G89" s="341"/>
      <c r="H89" s="341"/>
      <c r="I89" s="341"/>
      <c r="J89" s="341"/>
      <c r="K89" s="341"/>
      <c r="L89" s="341"/>
      <c r="M89" s="412" t="s">
        <v>11</v>
      </c>
      <c r="N89" s="337">
        <f>75000000*'Data Entry'!N82</f>
        <v>42300</v>
      </c>
      <c r="O89" s="341"/>
      <c r="P89" s="341"/>
      <c r="Q89" s="341"/>
      <c r="R89" s="341"/>
      <c r="S89" s="341"/>
      <c r="T89" s="416"/>
      <c r="U89" s="341"/>
      <c r="V89" s="341"/>
      <c r="W89" s="341"/>
      <c r="X89" s="421"/>
      <c r="Y89" s="23"/>
      <c r="Z89" s="341"/>
      <c r="AA89" s="341"/>
      <c r="AB89" s="341"/>
      <c r="AC89" s="341"/>
      <c r="AD89" s="341"/>
      <c r="AE89" s="341"/>
    </row>
    <row r="90" ht="12.0" customHeight="1">
      <c r="A90" s="341"/>
      <c r="B90" s="16"/>
      <c r="G90" s="341"/>
      <c r="H90" s="341"/>
      <c r="I90" s="341"/>
      <c r="J90" s="341"/>
      <c r="K90" s="341"/>
      <c r="L90" s="341"/>
      <c r="M90" s="341"/>
      <c r="N90" s="406"/>
      <c r="O90" s="341"/>
      <c r="P90" s="341"/>
      <c r="Q90" s="341"/>
      <c r="R90" s="341"/>
      <c r="S90" s="341"/>
      <c r="T90" s="341"/>
      <c r="U90" s="341"/>
      <c r="V90" s="341"/>
      <c r="W90" s="341"/>
      <c r="X90" s="341"/>
      <c r="Y90" s="341"/>
      <c r="Z90" s="341"/>
      <c r="AA90" s="341"/>
      <c r="AB90" s="341"/>
      <c r="AC90" s="341"/>
      <c r="AD90" s="341"/>
      <c r="AE90" s="341"/>
    </row>
    <row r="91" ht="12.0" customHeight="1">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row>
    <row r="92" ht="12.0" customHeight="1">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row>
    <row r="93" ht="12.0" customHeight="1">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row>
    <row r="94" ht="12.0" customHeight="1">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row>
    <row r="95" ht="12.0" customHeight="1">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row>
    <row r="96" ht="12.0" customHeight="1">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row>
    <row r="97" ht="12.0" customHeight="1">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row>
    <row r="98" ht="12.0" customHeight="1">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row>
    <row r="99" ht="12.0" customHeight="1">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row>
    <row r="100" ht="12.0" customHeight="1">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row>
    <row r="101" ht="12.0" customHeight="1">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row>
    <row r="102" ht="12.0" customHeight="1">
      <c r="A102" s="341"/>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row>
    <row r="103" ht="12.0" customHeight="1">
      <c r="A103" s="341"/>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row>
    <row r="104" ht="12.0" customHeight="1">
      <c r="A104" s="34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row>
    <row r="105" ht="12.0" customHeight="1">
      <c r="A105" s="341"/>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row>
    <row r="106" ht="12.0" customHeight="1">
      <c r="A106" s="341"/>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row>
    <row r="107" ht="12.0" customHeight="1">
      <c r="A107" s="3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row>
    <row r="108" ht="12.0" customHeight="1">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row>
    <row r="109" ht="12.0" customHeight="1">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row>
    <row r="110" ht="12.0" customHeight="1">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row>
    <row r="111" ht="12.0" customHeight="1">
      <c r="A111" s="341"/>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row>
    <row r="112" ht="12.0" customHeight="1">
      <c r="A112" s="341"/>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row>
    <row r="113" ht="12.0" customHeight="1">
      <c r="A113" s="341"/>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row>
    <row r="114" ht="12.0" customHeight="1">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row>
    <row r="115" ht="12.0" customHeight="1">
      <c r="A115" s="341"/>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row>
    <row r="116" ht="12.0" customHeight="1">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row>
    <row r="117" ht="12.0" customHeight="1">
      <c r="A117" s="341"/>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row>
    <row r="118" ht="12.0" customHeight="1">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row>
    <row r="119" ht="12.0" customHeight="1">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row>
    <row r="120" ht="12.0" customHeight="1">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row>
    <row r="121" ht="12.0" customHeight="1">
      <c r="A121" s="341"/>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row>
    <row r="122" ht="12.0" customHeight="1">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row>
    <row r="123" ht="12.0" customHeight="1">
      <c r="A123" s="341"/>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row>
    <row r="124" ht="12.0" customHeight="1">
      <c r="A124" s="341"/>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row>
    <row r="125" ht="12.0" customHeight="1">
      <c r="A125" s="341"/>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row>
    <row r="126" ht="12.0" customHeight="1">
      <c r="A126" s="341"/>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row>
    <row r="127" ht="12.0" customHeight="1">
      <c r="A127" s="341"/>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row>
    <row r="128" ht="12.0" customHeight="1">
      <c r="A128" s="341"/>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row>
    <row r="129" ht="12.0" customHeight="1">
      <c r="A129" s="341"/>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row>
    <row r="130" ht="12.0" customHeight="1">
      <c r="A130" s="341"/>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row>
    <row r="131" ht="12.0" customHeight="1">
      <c r="A131" s="341"/>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row>
    <row r="132" ht="12.0" customHeight="1">
      <c r="A132" s="341"/>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row>
    <row r="133" ht="12.0" customHeight="1">
      <c r="A133" s="341"/>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row>
    <row r="134" ht="12.0" customHeight="1">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row>
    <row r="135" ht="12.0" customHeight="1">
      <c r="A135" s="341"/>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row>
    <row r="136" ht="12.0" customHeight="1">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row>
    <row r="137" ht="12.0" customHeight="1">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row>
    <row r="138" ht="12.0" customHeight="1">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row>
    <row r="139" ht="12.0"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row>
    <row r="140" ht="12.0" customHeight="1">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row>
    <row r="141" ht="12.0" customHeight="1">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row>
    <row r="142" ht="12.0" customHeight="1">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row>
    <row r="143" ht="12.0"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row>
    <row r="144" ht="12.0" customHeight="1">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row>
    <row r="145" ht="12.0" customHeight="1">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row>
    <row r="146" ht="12.0" customHeight="1">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row>
    <row r="147" ht="12.0" customHeight="1">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row>
    <row r="148" ht="12.0" customHeight="1">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row>
    <row r="149" ht="12.0" customHeight="1">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row>
    <row r="150" ht="12.0"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row>
    <row r="151" ht="12.0" customHeight="1">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row>
    <row r="152" ht="12.0" customHeight="1">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row>
    <row r="153" ht="12.0" customHeight="1">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row>
    <row r="154" ht="12.0"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row>
    <row r="155" ht="12.0"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row>
    <row r="156" ht="12.0"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row>
    <row r="157" ht="12.0" customHeight="1">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row>
    <row r="158" ht="12.0" customHeight="1">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row>
    <row r="159" ht="12.0" customHeight="1">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row>
    <row r="160" ht="12.0" customHeight="1">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row>
    <row r="161" ht="12.0" customHeight="1">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row>
    <row r="162" ht="12.0" customHeight="1">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row>
    <row r="163" ht="12.0" customHeight="1">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row>
    <row r="164" ht="12.0" customHeight="1">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row>
    <row r="165" ht="12.0" customHeight="1">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row>
    <row r="166" ht="12.0" customHeight="1">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row>
    <row r="167" ht="12.0" customHeight="1">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row>
    <row r="168" ht="12.0" customHeight="1">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row>
    <row r="169" ht="12.0" customHeight="1">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row>
    <row r="170" ht="12.0" customHeight="1">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row>
    <row r="171" ht="12.0" customHeight="1">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row>
    <row r="172" ht="12.0" customHeight="1">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row>
    <row r="173" ht="12.0" customHeight="1">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row>
    <row r="174" ht="12.0" customHeight="1">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row>
    <row r="175" ht="12.0" customHeight="1">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row>
    <row r="176" ht="12.0" customHeight="1">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row>
    <row r="177" ht="12.0" customHeight="1">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row>
    <row r="178" ht="12.0" customHeight="1">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row>
    <row r="179" ht="12.0" customHeight="1">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row>
    <row r="180" ht="12.0" customHeight="1">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row>
    <row r="181" ht="12.0" customHeight="1">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row>
    <row r="182" ht="12.0" customHeight="1">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row>
    <row r="183" ht="12.0" customHeight="1">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row>
    <row r="184" ht="12.0" customHeight="1">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row>
    <row r="185" ht="12.0" customHeight="1">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row>
    <row r="186" ht="12.0" customHeight="1">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row>
    <row r="187" ht="12.0" customHeight="1">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row>
    <row r="188" ht="12.0" customHeight="1">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row>
    <row r="189" ht="12.0" customHeight="1">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row>
    <row r="190" ht="12.0" customHeight="1">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row>
    <row r="191" ht="12.0" customHeight="1">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row>
    <row r="192" ht="12.0" customHeight="1">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row>
    <row r="193" ht="12.0" customHeight="1">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row>
    <row r="194" ht="12.0" customHeight="1">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row>
    <row r="195" ht="12.0" customHeight="1">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row>
    <row r="196" ht="12.0" customHeight="1">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row>
    <row r="197" ht="12.0" customHeight="1">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row>
    <row r="198" ht="12.0" customHeight="1">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row>
    <row r="199" ht="12.0" customHeight="1">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row>
    <row r="200" ht="12.0" customHeight="1">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row>
    <row r="201" ht="12.0" customHeight="1">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row>
    <row r="202" ht="12.0" customHeight="1">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row>
    <row r="203" ht="12.0" customHeight="1">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row>
    <row r="204" ht="12.0" customHeight="1">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row>
    <row r="205" ht="12.0" customHeight="1">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row>
    <row r="206" ht="12.0" customHeight="1">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row>
    <row r="207" ht="12.0" customHeight="1">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row>
    <row r="208" ht="12.0" customHeight="1">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row>
    <row r="209" ht="12.0" customHeight="1">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row>
    <row r="210" ht="12.0" customHeight="1">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row>
    <row r="211" ht="12.0" customHeight="1">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row>
    <row r="212" ht="12.0" customHeight="1">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row>
    <row r="213" ht="12.0" customHeight="1">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row>
    <row r="214" ht="12.0" customHeight="1">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row>
    <row r="215" ht="12.0" customHeight="1">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row>
    <row r="216" ht="12.0" customHeight="1">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row>
    <row r="217" ht="12.0" customHeight="1">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row>
    <row r="218" ht="12.0" customHeight="1">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row>
    <row r="219" ht="12.0" customHeight="1">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row>
    <row r="220" ht="12.0" customHeight="1">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row>
    <row r="221" ht="12.0" customHeight="1">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row>
    <row r="222" ht="12.0"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row>
    <row r="223" ht="12.0"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row>
    <row r="224" ht="12.0"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row>
    <row r="225" ht="12.0"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row>
    <row r="226" ht="12.0"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row>
    <row r="227" ht="12.0"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row>
    <row r="228" ht="12.0"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row>
    <row r="229" ht="12.0" customHeight="1">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row>
    <row r="230" ht="12.0" customHeight="1">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row>
    <row r="231" ht="12.0" customHeight="1">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row>
    <row r="232" ht="12.0" customHeight="1">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row>
    <row r="233" ht="12.0" customHeight="1">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row>
    <row r="234" ht="12.0" customHeight="1">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row>
    <row r="235" ht="12.0" customHeight="1">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row>
    <row r="236" ht="12.0" customHeight="1">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row>
    <row r="237" ht="12.0" customHeight="1">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row>
    <row r="238" ht="12.0" customHeight="1">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row>
    <row r="239" ht="12.0" customHeight="1">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row>
    <row r="240" ht="12.0" customHeight="1">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row>
    <row r="241" ht="12.0" customHeight="1">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row>
    <row r="242" ht="12.0" customHeight="1">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row>
    <row r="243" ht="12.0" customHeight="1">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row>
    <row r="244" ht="12.0" customHeight="1">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row>
    <row r="245" ht="12.0" customHeight="1">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row>
    <row r="246" ht="12.0" customHeight="1">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row>
    <row r="247" ht="12.0" customHeight="1">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row>
    <row r="248" ht="12.0" customHeight="1">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row>
    <row r="249" ht="12.0" customHeight="1">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row>
    <row r="250" ht="12.0" customHeight="1">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row>
    <row r="251" ht="12.0" customHeight="1">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row>
    <row r="252" ht="12.0" customHeight="1">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row>
    <row r="253" ht="12.0" customHeight="1">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row>
    <row r="254" ht="12.0" customHeight="1">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row>
    <row r="255" ht="12.0" customHeight="1">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row>
    <row r="256" ht="12.0" customHeight="1">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row>
    <row r="257" ht="12.0" customHeight="1">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row>
    <row r="258" ht="12.0" customHeight="1">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row>
    <row r="259" ht="12.0" customHeight="1">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row>
    <row r="260" ht="12.0" customHeight="1">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row>
    <row r="261" ht="12.0" customHeight="1">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row>
    <row r="262" ht="12.0" customHeight="1">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row>
    <row r="263" ht="12.0" customHeight="1">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row>
    <row r="264" ht="12.0" customHeight="1">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row>
    <row r="265" ht="12.0" customHeight="1">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row>
    <row r="266" ht="12.0" customHeight="1">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row>
    <row r="267" ht="12.0" customHeight="1">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row>
    <row r="268" ht="12.0" customHeight="1">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row>
    <row r="269" ht="12.0" customHeight="1">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row>
    <row r="270" ht="12.0" customHeight="1">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row>
    <row r="271" ht="12.0" customHeight="1">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row>
    <row r="272" ht="12.0" customHeight="1">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row>
    <row r="273" ht="12.0" customHeight="1">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row>
    <row r="274" ht="12.0" customHeight="1">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row>
    <row r="275" ht="12.0" customHeight="1">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row>
    <row r="276" ht="12.0" customHeight="1">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row>
    <row r="277" ht="12.0" customHeight="1">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row>
    <row r="278" ht="12.0" customHeight="1">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row>
    <row r="279" ht="12.0" customHeight="1">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row>
    <row r="280" ht="12.0" customHeight="1">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row>
    <row r="281" ht="12.0" customHeight="1">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row>
    <row r="282" ht="12.0" customHeight="1">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row>
    <row r="283" ht="12.0" customHeight="1">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row>
    <row r="284" ht="12.0" customHeight="1">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row>
    <row r="285" ht="12.0" customHeight="1">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row>
    <row r="286" ht="12.0" customHeight="1">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row>
    <row r="287" ht="12.0" customHeight="1">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row>
    <row r="288" ht="12.0" customHeight="1">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row>
    <row r="289" ht="12.0" customHeight="1">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row>
    <row r="290" ht="12.0" customHeight="1">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row>
    <row r="291" ht="12.0" customHeight="1">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row>
    <row r="292" ht="12.0" customHeight="1">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row>
    <row r="293" ht="12.0" customHeight="1">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row>
    <row r="294" ht="12.0" customHeight="1">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row>
    <row r="295" ht="12.0" customHeight="1">
      <c r="A295" s="34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row>
    <row r="296" ht="12.0" customHeight="1">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row>
    <row r="297" ht="12.0" customHeight="1">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row>
    <row r="298" ht="12.0" customHeight="1">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row>
    <row r="299" ht="12.0" customHeight="1">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row>
    <row r="300" ht="12.0" customHeight="1">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row>
    <row r="301" ht="12.0" customHeight="1">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row>
    <row r="302" ht="12.0" customHeight="1">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row>
    <row r="303" ht="12.0" customHeight="1">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row>
    <row r="304" ht="12.0" customHeight="1">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row>
    <row r="305" ht="12.0" customHeight="1">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row>
    <row r="306" ht="12.0" customHeight="1">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row>
    <row r="307" ht="12.0" customHeight="1">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row>
    <row r="308" ht="12.0" customHeight="1">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row>
    <row r="309" ht="12.0" customHeight="1">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row>
    <row r="310" ht="12.0" customHeight="1">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row>
    <row r="311" ht="12.0" customHeight="1">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row>
    <row r="312" ht="12.0" customHeight="1">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row>
    <row r="313" ht="12.0" customHeight="1">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row>
    <row r="314" ht="12.0" customHeight="1">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row>
    <row r="315" ht="12.0" customHeight="1">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row>
    <row r="316" ht="12.0" customHeight="1">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row>
    <row r="317" ht="12.0" customHeight="1">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row>
    <row r="318" ht="12.0" customHeight="1">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row>
    <row r="319" ht="12.0" customHeight="1">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row>
    <row r="320" ht="12.0" customHeight="1">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row>
    <row r="321" ht="12.0" customHeight="1">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row>
    <row r="322" ht="12.0" customHeight="1">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row>
    <row r="323" ht="12.0" customHeight="1">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row>
    <row r="324" ht="12.0" customHeight="1">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row>
    <row r="325" ht="12.0" customHeight="1">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row>
    <row r="326" ht="12.0" customHeight="1">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row>
    <row r="327" ht="12.0" customHeight="1">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row>
    <row r="328" ht="12.0" customHeight="1">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row>
    <row r="329" ht="12.0" customHeight="1">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row>
    <row r="330" ht="12.0" customHeight="1">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row>
    <row r="331" ht="12.0" customHeight="1">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row>
    <row r="332" ht="12.0" customHeight="1">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row>
    <row r="333" ht="12.0" customHeight="1">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row>
    <row r="334" ht="12.0" customHeight="1">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row>
    <row r="335" ht="12.0" customHeight="1">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row>
    <row r="336" ht="12.0" customHeight="1">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row>
    <row r="337" ht="12.0" customHeight="1">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row>
    <row r="338" ht="12.0" customHeight="1">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row>
    <row r="339" ht="12.0" customHeight="1">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row>
    <row r="340" ht="12.0" customHeight="1">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row>
    <row r="341" ht="12.0" customHeight="1">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row>
    <row r="342" ht="12.0" customHeight="1">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row>
    <row r="343" ht="12.0" customHeight="1">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row>
    <row r="344" ht="12.0" customHeight="1">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row>
    <row r="345" ht="12.0" customHeight="1">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row>
    <row r="346" ht="12.0" customHeight="1">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row>
    <row r="347" ht="12.0" customHeight="1">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row>
    <row r="348" ht="12.0" customHeight="1">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row>
    <row r="349" ht="12.0" customHeight="1">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row>
    <row r="350" ht="12.0" customHeight="1">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row>
    <row r="351" ht="12.0" customHeight="1">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row>
    <row r="352" ht="12.0" customHeight="1">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row>
    <row r="353" ht="12.0" customHeight="1">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row>
    <row r="354" ht="12.0" customHeight="1">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row>
    <row r="355" ht="12.0" customHeight="1">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row>
    <row r="356" ht="12.0" customHeight="1">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row>
    <row r="357" ht="12.0" customHeight="1">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row>
    <row r="358" ht="12.0" customHeight="1">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row>
    <row r="359" ht="12.0" customHeight="1">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row>
    <row r="360" ht="12.0" customHeight="1">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row>
    <row r="361" ht="12.0" customHeight="1">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row>
    <row r="362" ht="12.0" customHeight="1">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row>
    <row r="363" ht="12.0" customHeight="1">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row>
    <row r="364" ht="12.0" customHeight="1">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row>
    <row r="365" ht="12.0" customHeight="1">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row>
    <row r="366" ht="12.0" customHeight="1">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row>
    <row r="367" ht="12.0" customHeight="1">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row>
    <row r="368" ht="12.0" customHeight="1">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row>
    <row r="369" ht="12.0" customHeight="1">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row>
    <row r="370" ht="12.0" customHeight="1">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row>
    <row r="371" ht="12.0" customHeight="1">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row>
    <row r="372" ht="12.0" customHeight="1">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row>
    <row r="373" ht="12.0" customHeight="1">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row>
    <row r="374" ht="12.0" customHeight="1">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row>
    <row r="375" ht="12.0" customHeight="1">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row>
    <row r="376" ht="12.0" customHeight="1">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row>
    <row r="377" ht="12.0" customHeight="1">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row>
    <row r="378" ht="12.0" customHeight="1">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row>
    <row r="379" ht="12.0" customHeight="1">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row>
    <row r="380" ht="12.0" customHeight="1">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row>
    <row r="381" ht="12.0" customHeight="1">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row>
    <row r="382" ht="12.0" customHeight="1">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row>
    <row r="383" ht="12.0" customHeight="1">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row>
    <row r="384" ht="12.0" customHeight="1">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row>
    <row r="385" ht="12.0" customHeight="1">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row>
    <row r="386" ht="12.0" customHeight="1">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row>
    <row r="387" ht="12.0" customHeight="1">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row>
    <row r="388" ht="12.0" customHeight="1">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row>
    <row r="389" ht="12.0" customHeight="1">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row>
    <row r="390" ht="12.0" customHeight="1">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row>
    <row r="391" ht="12.0" customHeight="1">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row>
    <row r="392" ht="12.0" customHeight="1">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row>
    <row r="393" ht="12.0" customHeight="1">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row>
    <row r="394" ht="12.0" customHeight="1">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row>
    <row r="395" ht="12.0" customHeight="1">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row>
    <row r="396" ht="12.0" customHeight="1">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row>
    <row r="397" ht="12.0" customHeight="1">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row>
    <row r="398" ht="12.0" customHeight="1">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row>
    <row r="399" ht="12.0" customHeight="1">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row>
    <row r="400" ht="12.0" customHeight="1">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row>
    <row r="401" ht="12.0" customHeight="1">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row>
    <row r="402" ht="12.0" customHeight="1">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row>
    <row r="403" ht="12.0" customHeight="1">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row>
    <row r="404" ht="12.0" customHeight="1">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row>
    <row r="405" ht="12.0" customHeight="1">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row>
    <row r="406" ht="12.0" customHeight="1">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row>
    <row r="407" ht="12.0" customHeight="1">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row>
    <row r="408" ht="12.0" customHeight="1">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row>
    <row r="409" ht="12.0" customHeight="1">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row>
    <row r="410" ht="12.0" customHeight="1">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row>
    <row r="411" ht="12.0" customHeight="1">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row>
    <row r="412" ht="12.0" customHeight="1">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row>
    <row r="413" ht="12.0" customHeight="1">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row>
    <row r="414" ht="12.0" customHeight="1">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c r="AA414" s="341"/>
      <c r="AB414" s="341"/>
      <c r="AC414" s="341"/>
      <c r="AD414" s="341"/>
      <c r="AE414" s="341"/>
    </row>
    <row r="415" ht="12.0" customHeight="1">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row>
    <row r="416" ht="12.0" customHeight="1">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c r="AA416" s="341"/>
      <c r="AB416" s="341"/>
      <c r="AC416" s="341"/>
      <c r="AD416" s="341"/>
      <c r="AE416" s="341"/>
    </row>
    <row r="417" ht="12.0" customHeight="1">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341"/>
      <c r="AD417" s="341"/>
      <c r="AE417" s="341"/>
    </row>
    <row r="418" ht="12.0" customHeight="1">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row>
    <row r="419" ht="12.0" customHeight="1">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row>
    <row r="420" ht="12.0" customHeight="1">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row>
    <row r="421" ht="12.0" customHeight="1">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row>
    <row r="422" ht="12.0" customHeight="1">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c r="AA422" s="341"/>
      <c r="AB422" s="341"/>
      <c r="AC422" s="341"/>
      <c r="AD422" s="341"/>
      <c r="AE422" s="341"/>
    </row>
    <row r="423" ht="12.0" customHeight="1">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c r="AA423" s="341"/>
      <c r="AB423" s="341"/>
      <c r="AC423" s="341"/>
      <c r="AD423" s="341"/>
      <c r="AE423" s="341"/>
    </row>
    <row r="424" ht="12.0" customHeight="1">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row>
    <row r="425" ht="12.0" customHeight="1">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c r="AA425" s="341"/>
      <c r="AB425" s="341"/>
      <c r="AC425" s="341"/>
      <c r="AD425" s="341"/>
      <c r="AE425" s="341"/>
    </row>
    <row r="426" ht="12.0" customHeight="1">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row>
    <row r="427" ht="12.0" customHeight="1">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row>
    <row r="428" ht="12.0" customHeight="1">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row>
    <row r="429" ht="12.0" customHeight="1">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row>
    <row r="430" ht="12.0" customHeight="1">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row>
    <row r="431" ht="12.0" customHeight="1">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c r="AA431" s="341"/>
      <c r="AB431" s="341"/>
      <c r="AC431" s="341"/>
      <c r="AD431" s="341"/>
      <c r="AE431" s="341"/>
    </row>
    <row r="432" ht="12.0" customHeight="1">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c r="AA432" s="341"/>
      <c r="AB432" s="341"/>
      <c r="AC432" s="341"/>
      <c r="AD432" s="341"/>
      <c r="AE432" s="341"/>
    </row>
    <row r="433" ht="12.0" customHeight="1">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row>
    <row r="434" ht="12.0" customHeight="1">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c r="AA434" s="341"/>
      <c r="AB434" s="341"/>
      <c r="AC434" s="341"/>
      <c r="AD434" s="341"/>
      <c r="AE434" s="341"/>
    </row>
    <row r="435" ht="12.0" customHeight="1">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c r="AA435" s="341"/>
      <c r="AB435" s="341"/>
      <c r="AC435" s="341"/>
      <c r="AD435" s="341"/>
      <c r="AE435" s="341"/>
    </row>
    <row r="436" ht="12.0" customHeight="1">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row>
    <row r="437" ht="12.0" customHeight="1">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row>
    <row r="438" ht="12.0" customHeight="1">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row>
    <row r="439" ht="12.0" customHeight="1">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row>
    <row r="440" ht="12.0" customHeight="1">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c r="AA440" s="341"/>
      <c r="AB440" s="341"/>
      <c r="AC440" s="341"/>
      <c r="AD440" s="341"/>
      <c r="AE440" s="341"/>
    </row>
    <row r="441" ht="12.0" customHeight="1">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c r="AA441" s="341"/>
      <c r="AB441" s="341"/>
      <c r="AC441" s="341"/>
      <c r="AD441" s="341"/>
      <c r="AE441" s="341"/>
    </row>
    <row r="442" ht="12.0" customHeight="1">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c r="AA442" s="341"/>
      <c r="AB442" s="341"/>
      <c r="AC442" s="341"/>
      <c r="AD442" s="341"/>
      <c r="AE442" s="341"/>
    </row>
    <row r="443" ht="12.0" customHeight="1">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1"/>
      <c r="AD443" s="341"/>
      <c r="AE443" s="341"/>
    </row>
    <row r="444" ht="12.0" customHeight="1">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row>
    <row r="445" ht="12.0" customHeight="1">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row>
    <row r="446" ht="12.0" customHeight="1">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row>
    <row r="447" ht="12.0" customHeight="1">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row>
    <row r="448" ht="12.0" customHeight="1">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row>
    <row r="449" ht="12.0" customHeight="1">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c r="AA449" s="341"/>
      <c r="AB449" s="341"/>
      <c r="AC449" s="341"/>
      <c r="AD449" s="341"/>
      <c r="AE449" s="341"/>
    </row>
    <row r="450" ht="12.0" customHeight="1">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c r="AA450" s="341"/>
      <c r="AB450" s="341"/>
      <c r="AC450" s="341"/>
      <c r="AD450" s="341"/>
      <c r="AE450" s="341"/>
    </row>
    <row r="451" ht="12.0" customHeight="1">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c r="AA451" s="341"/>
      <c r="AB451" s="341"/>
      <c r="AC451" s="341"/>
      <c r="AD451" s="341"/>
      <c r="AE451" s="341"/>
    </row>
    <row r="452" ht="12.0" customHeight="1">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c r="AA452" s="341"/>
      <c r="AB452" s="341"/>
      <c r="AC452" s="341"/>
      <c r="AD452" s="341"/>
      <c r="AE452" s="341"/>
    </row>
    <row r="453" ht="12.0" customHeight="1">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c r="AA453" s="341"/>
      <c r="AB453" s="341"/>
      <c r="AC453" s="341"/>
      <c r="AD453" s="341"/>
      <c r="AE453" s="341"/>
    </row>
    <row r="454" ht="12.0" customHeight="1">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c r="AA454" s="341"/>
      <c r="AB454" s="341"/>
      <c r="AC454" s="341"/>
      <c r="AD454" s="341"/>
      <c r="AE454" s="341"/>
    </row>
    <row r="455" ht="12.0" customHeight="1">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c r="AA455" s="341"/>
      <c r="AB455" s="341"/>
      <c r="AC455" s="341"/>
      <c r="AD455" s="341"/>
      <c r="AE455" s="341"/>
    </row>
    <row r="456" ht="12.0" customHeight="1">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row>
    <row r="457" ht="12.0" customHeight="1">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row>
    <row r="458" ht="12.0" customHeight="1">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c r="AA458" s="341"/>
      <c r="AB458" s="341"/>
      <c r="AC458" s="341"/>
      <c r="AD458" s="341"/>
      <c r="AE458" s="341"/>
    </row>
    <row r="459" ht="12.0" customHeight="1">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c r="AA459" s="341"/>
      <c r="AB459" s="341"/>
      <c r="AC459" s="341"/>
      <c r="AD459" s="341"/>
      <c r="AE459" s="341"/>
    </row>
    <row r="460" ht="12.0" customHeight="1">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c r="AA460" s="341"/>
      <c r="AB460" s="341"/>
      <c r="AC460" s="341"/>
      <c r="AD460" s="341"/>
      <c r="AE460" s="341"/>
    </row>
    <row r="461" ht="12.0" customHeight="1">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row>
    <row r="462" ht="12.0" customHeight="1">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c r="AA462" s="341"/>
      <c r="AB462" s="341"/>
      <c r="AC462" s="341"/>
      <c r="AD462" s="341"/>
      <c r="AE462" s="341"/>
    </row>
    <row r="463" ht="12.0" customHeight="1">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row>
    <row r="464" ht="12.0" customHeight="1">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row>
    <row r="465" ht="12.0" customHeight="1">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c r="AA465" s="341"/>
      <c r="AB465" s="341"/>
      <c r="AC465" s="341"/>
      <c r="AD465" s="341"/>
      <c r="AE465" s="341"/>
    </row>
    <row r="466" ht="12.0" customHeight="1">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c r="AA466" s="341"/>
      <c r="AB466" s="341"/>
      <c r="AC466" s="341"/>
      <c r="AD466" s="341"/>
      <c r="AE466" s="341"/>
    </row>
    <row r="467" ht="12.0" customHeight="1">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row>
    <row r="468" ht="12.0" customHeight="1">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row>
    <row r="469" ht="12.0" customHeight="1">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row>
    <row r="470" ht="12.0" customHeight="1">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c r="AA470" s="341"/>
      <c r="AB470" s="341"/>
      <c r="AC470" s="341"/>
      <c r="AD470" s="341"/>
      <c r="AE470" s="341"/>
    </row>
    <row r="471" ht="12.0" customHeight="1">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row>
    <row r="472" ht="12.0" customHeight="1">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row>
    <row r="473" ht="12.0" customHeight="1">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row>
    <row r="474" ht="12.0" customHeight="1">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c r="AA474" s="341"/>
      <c r="AB474" s="341"/>
      <c r="AC474" s="341"/>
      <c r="AD474" s="341"/>
      <c r="AE474" s="341"/>
    </row>
    <row r="475" ht="12.0" customHeight="1">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1"/>
    </row>
    <row r="476" ht="12.0" customHeight="1">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row>
    <row r="477" ht="12.0" customHeight="1">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c r="AA477" s="341"/>
      <c r="AB477" s="341"/>
      <c r="AC477" s="341"/>
      <c r="AD477" s="341"/>
      <c r="AE477" s="341"/>
    </row>
    <row r="478" ht="12.0" customHeight="1">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row>
    <row r="479" ht="12.0" customHeight="1">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row>
    <row r="480" ht="12.0" customHeight="1">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row>
    <row r="481" ht="12.0" customHeight="1">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c r="AA481" s="341"/>
      <c r="AB481" s="341"/>
      <c r="AC481" s="341"/>
      <c r="AD481" s="341"/>
      <c r="AE481" s="341"/>
    </row>
    <row r="482" ht="12.0" customHeight="1">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row>
    <row r="483" ht="12.0" customHeight="1">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row>
    <row r="484" ht="12.0" customHeight="1">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c r="AA484" s="341"/>
      <c r="AB484" s="341"/>
      <c r="AC484" s="341"/>
      <c r="AD484" s="341"/>
      <c r="AE484" s="341"/>
    </row>
    <row r="485" ht="12.0" customHeight="1">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row>
    <row r="486" ht="12.0" customHeight="1">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1"/>
      <c r="AE486" s="341"/>
    </row>
    <row r="487" ht="12.0" customHeight="1">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1"/>
      <c r="AE487" s="341"/>
    </row>
    <row r="488" ht="12.0" customHeight="1">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row>
    <row r="489" ht="12.0" customHeight="1">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row>
    <row r="490" ht="12.0" customHeight="1">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row>
    <row r="491" ht="12.0" customHeight="1">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row>
    <row r="492" ht="12.0" customHeight="1">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row>
    <row r="493" ht="12.0" customHeight="1">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c r="AA493" s="341"/>
      <c r="AB493" s="341"/>
      <c r="AC493" s="341"/>
      <c r="AD493" s="341"/>
      <c r="AE493" s="341"/>
    </row>
    <row r="494" ht="12.0" customHeight="1">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row>
    <row r="495" ht="12.0" customHeight="1">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c r="AA495" s="341"/>
      <c r="AB495" s="341"/>
      <c r="AC495" s="341"/>
      <c r="AD495" s="341"/>
      <c r="AE495" s="341"/>
    </row>
    <row r="496" ht="12.0" customHeight="1">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c r="AA496" s="341"/>
      <c r="AB496" s="341"/>
      <c r="AC496" s="341"/>
      <c r="AD496" s="341"/>
      <c r="AE496" s="341"/>
    </row>
    <row r="497" ht="12.0" customHeight="1">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c r="AA497" s="341"/>
      <c r="AB497" s="341"/>
      <c r="AC497" s="341"/>
      <c r="AD497" s="341"/>
      <c r="AE497" s="341"/>
    </row>
    <row r="498" ht="12.0" customHeight="1">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row>
    <row r="499" ht="12.0" customHeight="1">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row>
    <row r="500" ht="12.0" customHeight="1">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row>
    <row r="501" ht="12.0" customHeight="1">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row>
    <row r="502" ht="12.0" customHeight="1">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row>
    <row r="503" ht="12.0" customHeight="1">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row>
    <row r="504" ht="12.0" customHeight="1">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row>
    <row r="505" ht="12.0" customHeight="1">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row>
    <row r="506" ht="12.0" customHeight="1">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row>
    <row r="507" ht="12.0" customHeight="1">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row>
    <row r="508" ht="12.0" customHeight="1">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row>
    <row r="509" ht="12.0" customHeight="1">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c r="AA509" s="341"/>
      <c r="AB509" s="341"/>
      <c r="AC509" s="341"/>
      <c r="AD509" s="341"/>
      <c r="AE509" s="341"/>
    </row>
    <row r="510" ht="12.0" customHeight="1">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row>
    <row r="511" ht="12.0" customHeight="1">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row>
    <row r="512" ht="12.0" customHeight="1">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row>
    <row r="513" ht="12.0" customHeight="1">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row>
    <row r="514" ht="12.0" customHeight="1">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c r="AA514" s="341"/>
      <c r="AB514" s="341"/>
      <c r="AC514" s="341"/>
      <c r="AD514" s="341"/>
      <c r="AE514" s="341"/>
    </row>
    <row r="515" ht="12.0" customHeight="1">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c r="AA515" s="341"/>
      <c r="AB515" s="341"/>
      <c r="AC515" s="341"/>
      <c r="AD515" s="341"/>
      <c r="AE515" s="341"/>
    </row>
    <row r="516" ht="12.0" customHeight="1">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c r="AA516" s="341"/>
      <c r="AB516" s="341"/>
      <c r="AC516" s="341"/>
      <c r="AD516" s="341"/>
      <c r="AE516" s="341"/>
    </row>
    <row r="517" ht="12.0" customHeight="1">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row>
    <row r="518" ht="12.0" customHeight="1">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c r="AA518" s="341"/>
      <c r="AB518" s="341"/>
      <c r="AC518" s="341"/>
      <c r="AD518" s="341"/>
      <c r="AE518" s="341"/>
    </row>
    <row r="519" ht="12.0" customHeight="1">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1"/>
      <c r="AE519" s="341"/>
    </row>
    <row r="520" ht="12.0" customHeight="1">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c r="AA520" s="341"/>
      <c r="AB520" s="341"/>
      <c r="AC520" s="341"/>
      <c r="AD520" s="341"/>
      <c r="AE520" s="341"/>
    </row>
    <row r="521" ht="12.0" customHeight="1">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row>
    <row r="522" ht="12.0" customHeight="1">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c r="AA522" s="341"/>
      <c r="AB522" s="341"/>
      <c r="AC522" s="341"/>
      <c r="AD522" s="341"/>
      <c r="AE522" s="341"/>
    </row>
    <row r="523" ht="12.0" customHeight="1">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c r="AA523" s="341"/>
      <c r="AB523" s="341"/>
      <c r="AC523" s="341"/>
      <c r="AD523" s="341"/>
      <c r="AE523" s="341"/>
    </row>
    <row r="524" ht="12.0" customHeight="1">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c r="AA524" s="341"/>
      <c r="AB524" s="341"/>
      <c r="AC524" s="341"/>
      <c r="AD524" s="341"/>
      <c r="AE524" s="341"/>
    </row>
    <row r="525" ht="12.0" customHeight="1">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row>
    <row r="526" ht="12.0" customHeight="1">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c r="AA526" s="341"/>
      <c r="AB526" s="341"/>
      <c r="AC526" s="341"/>
      <c r="AD526" s="341"/>
      <c r="AE526" s="341"/>
    </row>
    <row r="527" ht="12.0" customHeight="1">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c r="AA527" s="341"/>
      <c r="AB527" s="341"/>
      <c r="AC527" s="341"/>
      <c r="AD527" s="341"/>
      <c r="AE527" s="341"/>
    </row>
    <row r="528" ht="12.0" customHeight="1">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c r="AA528" s="341"/>
      <c r="AB528" s="341"/>
      <c r="AC528" s="341"/>
      <c r="AD528" s="341"/>
      <c r="AE528" s="341"/>
    </row>
    <row r="529" ht="12.0" customHeight="1">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row>
    <row r="530" ht="12.0" customHeight="1">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row>
    <row r="531" ht="12.0" customHeight="1">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row>
    <row r="532" ht="12.0" customHeight="1">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row>
    <row r="533" ht="12.0" customHeight="1">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c r="AA533" s="341"/>
      <c r="AB533" s="341"/>
      <c r="AC533" s="341"/>
      <c r="AD533" s="341"/>
      <c r="AE533" s="341"/>
    </row>
    <row r="534" ht="12.0" customHeight="1">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c r="AA534" s="341"/>
      <c r="AB534" s="341"/>
      <c r="AC534" s="341"/>
      <c r="AD534" s="341"/>
      <c r="AE534" s="341"/>
    </row>
    <row r="535" ht="12.0" customHeight="1">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row>
    <row r="536" ht="12.0" customHeight="1">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row>
    <row r="537" ht="12.0" customHeight="1">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row>
    <row r="538" ht="12.0" customHeight="1">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c r="AA538" s="341"/>
      <c r="AB538" s="341"/>
      <c r="AC538" s="341"/>
      <c r="AD538" s="341"/>
      <c r="AE538" s="341"/>
    </row>
    <row r="539" ht="12.0" customHeight="1">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c r="AA539" s="341"/>
      <c r="AB539" s="341"/>
      <c r="AC539" s="341"/>
      <c r="AD539" s="341"/>
      <c r="AE539" s="341"/>
    </row>
    <row r="540" ht="12.0" customHeight="1">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c r="AA540" s="341"/>
      <c r="AB540" s="341"/>
      <c r="AC540" s="341"/>
      <c r="AD540" s="341"/>
      <c r="AE540" s="341"/>
    </row>
    <row r="541" ht="12.0" customHeight="1">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c r="AA541" s="341"/>
      <c r="AB541" s="341"/>
      <c r="AC541" s="341"/>
      <c r="AD541" s="341"/>
      <c r="AE541" s="341"/>
    </row>
    <row r="542" ht="12.0" customHeight="1">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c r="AA542" s="341"/>
      <c r="AB542" s="341"/>
      <c r="AC542" s="341"/>
      <c r="AD542" s="341"/>
      <c r="AE542" s="341"/>
    </row>
    <row r="543" ht="12.0" customHeight="1">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row>
    <row r="544" ht="12.0" customHeight="1">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c r="AA544" s="341"/>
      <c r="AB544" s="341"/>
      <c r="AC544" s="341"/>
      <c r="AD544" s="341"/>
      <c r="AE544" s="341"/>
    </row>
    <row r="545" ht="12.0" customHeight="1">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c r="AA545" s="341"/>
      <c r="AB545" s="341"/>
      <c r="AC545" s="341"/>
      <c r="AD545" s="341"/>
      <c r="AE545" s="341"/>
    </row>
    <row r="546" ht="12.0" customHeight="1">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c r="AA546" s="341"/>
      <c r="AB546" s="341"/>
      <c r="AC546" s="341"/>
      <c r="AD546" s="341"/>
      <c r="AE546" s="341"/>
    </row>
    <row r="547" ht="12.0" customHeight="1">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c r="AA547" s="341"/>
      <c r="AB547" s="341"/>
      <c r="AC547" s="341"/>
      <c r="AD547" s="341"/>
      <c r="AE547" s="341"/>
    </row>
    <row r="548" ht="12.0" customHeight="1">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c r="AA548" s="341"/>
      <c r="AB548" s="341"/>
      <c r="AC548" s="341"/>
      <c r="AD548" s="341"/>
      <c r="AE548" s="341"/>
    </row>
    <row r="549" ht="12.0" customHeight="1">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c r="AA549" s="341"/>
      <c r="AB549" s="341"/>
      <c r="AC549" s="341"/>
      <c r="AD549" s="341"/>
      <c r="AE549" s="341"/>
    </row>
    <row r="550" ht="12.0" customHeight="1">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c r="AA550" s="341"/>
      <c r="AB550" s="341"/>
      <c r="AC550" s="341"/>
      <c r="AD550" s="341"/>
      <c r="AE550" s="341"/>
    </row>
    <row r="551" ht="12.0" customHeight="1">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c r="AA551" s="341"/>
      <c r="AB551" s="341"/>
      <c r="AC551" s="341"/>
      <c r="AD551" s="341"/>
      <c r="AE551" s="341"/>
    </row>
    <row r="552" ht="12.0" customHeight="1">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c r="AA552" s="341"/>
      <c r="AB552" s="341"/>
      <c r="AC552" s="341"/>
      <c r="AD552" s="341"/>
      <c r="AE552" s="341"/>
    </row>
    <row r="553" ht="12.0" customHeight="1">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c r="AA553" s="341"/>
      <c r="AB553" s="341"/>
      <c r="AC553" s="341"/>
      <c r="AD553" s="341"/>
      <c r="AE553" s="341"/>
    </row>
    <row r="554" ht="12.0" customHeight="1">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c r="AA554" s="341"/>
      <c r="AB554" s="341"/>
      <c r="AC554" s="341"/>
      <c r="AD554" s="341"/>
      <c r="AE554" s="341"/>
    </row>
    <row r="555" ht="12.0" customHeight="1">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1"/>
      <c r="AE555" s="341"/>
    </row>
    <row r="556" ht="12.0" customHeight="1">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row>
    <row r="557" ht="12.0" customHeight="1">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c r="AA557" s="341"/>
      <c r="AB557" s="341"/>
      <c r="AC557" s="341"/>
      <c r="AD557" s="341"/>
      <c r="AE557" s="341"/>
    </row>
    <row r="558" ht="12.0" customHeight="1">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c r="AA558" s="341"/>
      <c r="AB558" s="341"/>
      <c r="AC558" s="341"/>
      <c r="AD558" s="341"/>
      <c r="AE558" s="341"/>
    </row>
    <row r="559" ht="12.0" customHeight="1">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1"/>
      <c r="AE559" s="341"/>
    </row>
    <row r="560" ht="12.0" customHeight="1">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c r="AA560" s="341"/>
      <c r="AB560" s="341"/>
      <c r="AC560" s="341"/>
      <c r="AD560" s="341"/>
      <c r="AE560" s="341"/>
    </row>
    <row r="561" ht="12.0" customHeight="1">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c r="AA561" s="341"/>
      <c r="AB561" s="341"/>
      <c r="AC561" s="341"/>
      <c r="AD561" s="341"/>
      <c r="AE561" s="341"/>
    </row>
    <row r="562" ht="12.0" customHeight="1">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c r="AA562" s="341"/>
      <c r="AB562" s="341"/>
      <c r="AC562" s="341"/>
      <c r="AD562" s="341"/>
      <c r="AE562" s="341"/>
    </row>
    <row r="563" ht="12.0" customHeight="1">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c r="AA563" s="341"/>
      <c r="AB563" s="341"/>
      <c r="AC563" s="341"/>
      <c r="AD563" s="341"/>
      <c r="AE563" s="341"/>
    </row>
    <row r="564" ht="12.0" customHeight="1">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c r="AA564" s="341"/>
      <c r="AB564" s="341"/>
      <c r="AC564" s="341"/>
      <c r="AD564" s="341"/>
      <c r="AE564" s="341"/>
    </row>
    <row r="565" ht="12.0" customHeight="1">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1"/>
      <c r="AE565" s="341"/>
    </row>
    <row r="566" ht="12.0" customHeight="1">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c r="AA566" s="341"/>
      <c r="AB566" s="341"/>
      <c r="AC566" s="341"/>
      <c r="AD566" s="341"/>
      <c r="AE566" s="341"/>
    </row>
    <row r="567" ht="12.0" customHeight="1">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c r="AA567" s="341"/>
      <c r="AB567" s="341"/>
      <c r="AC567" s="341"/>
      <c r="AD567" s="341"/>
      <c r="AE567" s="341"/>
    </row>
    <row r="568" ht="12.0" customHeight="1">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c r="AA568" s="341"/>
      <c r="AB568" s="341"/>
      <c r="AC568" s="341"/>
      <c r="AD568" s="341"/>
      <c r="AE568" s="341"/>
    </row>
    <row r="569" ht="12.0" customHeight="1">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row>
    <row r="570" ht="12.0" customHeight="1">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c r="AA570" s="341"/>
      <c r="AB570" s="341"/>
      <c r="AC570" s="341"/>
      <c r="AD570" s="341"/>
      <c r="AE570" s="341"/>
    </row>
    <row r="571" ht="12.0" customHeight="1">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c r="AA571" s="341"/>
      <c r="AB571" s="341"/>
      <c r="AC571" s="341"/>
      <c r="AD571" s="341"/>
      <c r="AE571" s="341"/>
    </row>
    <row r="572" ht="12.0" customHeight="1">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c r="AA572" s="341"/>
      <c r="AB572" s="341"/>
      <c r="AC572" s="341"/>
      <c r="AD572" s="341"/>
      <c r="AE572" s="341"/>
    </row>
    <row r="573" ht="12.0" customHeight="1">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c r="AA573" s="341"/>
      <c r="AB573" s="341"/>
      <c r="AC573" s="341"/>
      <c r="AD573" s="341"/>
      <c r="AE573" s="341"/>
    </row>
    <row r="574" ht="12.0" customHeight="1">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c r="AA574" s="341"/>
      <c r="AB574" s="341"/>
      <c r="AC574" s="341"/>
      <c r="AD574" s="341"/>
      <c r="AE574" s="341"/>
    </row>
    <row r="575" ht="12.0" customHeight="1">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row>
    <row r="576" ht="12.0" customHeight="1">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c r="AA576" s="341"/>
      <c r="AB576" s="341"/>
      <c r="AC576" s="341"/>
      <c r="AD576" s="341"/>
      <c r="AE576" s="341"/>
    </row>
    <row r="577" ht="12.0" customHeight="1">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c r="AA577" s="341"/>
      <c r="AB577" s="341"/>
      <c r="AC577" s="341"/>
      <c r="AD577" s="341"/>
      <c r="AE577" s="341"/>
    </row>
    <row r="578" ht="12.0" customHeight="1">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c r="AA578" s="341"/>
      <c r="AB578" s="341"/>
      <c r="AC578" s="341"/>
      <c r="AD578" s="341"/>
      <c r="AE578" s="341"/>
    </row>
    <row r="579" ht="12.0" customHeight="1">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c r="AA579" s="341"/>
      <c r="AB579" s="341"/>
      <c r="AC579" s="341"/>
      <c r="AD579" s="341"/>
      <c r="AE579" s="341"/>
    </row>
    <row r="580" ht="12.0" customHeight="1">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c r="AA580" s="341"/>
      <c r="AB580" s="341"/>
      <c r="AC580" s="341"/>
      <c r="AD580" s="341"/>
      <c r="AE580" s="341"/>
    </row>
    <row r="581" ht="12.0" customHeight="1">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c r="AA581" s="341"/>
      <c r="AB581" s="341"/>
      <c r="AC581" s="341"/>
      <c r="AD581" s="341"/>
      <c r="AE581" s="341"/>
    </row>
    <row r="582" ht="12.0" customHeight="1">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c r="AA582" s="341"/>
      <c r="AB582" s="341"/>
      <c r="AC582" s="341"/>
      <c r="AD582" s="341"/>
      <c r="AE582" s="341"/>
    </row>
    <row r="583" ht="12.0" customHeight="1">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c r="AA583" s="341"/>
      <c r="AB583" s="341"/>
      <c r="AC583" s="341"/>
      <c r="AD583" s="341"/>
      <c r="AE583" s="341"/>
    </row>
    <row r="584" ht="12.0" customHeight="1">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row>
    <row r="585" ht="12.0" customHeight="1">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row>
    <row r="586" ht="12.0" customHeight="1">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row>
    <row r="587" ht="12.0" customHeight="1">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row>
    <row r="588" ht="12.0" customHeight="1">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row>
    <row r="589" ht="12.0" customHeight="1">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c r="AA589" s="341"/>
      <c r="AB589" s="341"/>
      <c r="AC589" s="341"/>
      <c r="AD589" s="341"/>
      <c r="AE589" s="341"/>
    </row>
    <row r="590" ht="12.0" customHeight="1">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row>
    <row r="591" ht="12.0" customHeight="1">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row>
    <row r="592" ht="12.0" customHeight="1">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c r="AA592" s="341"/>
      <c r="AB592" s="341"/>
      <c r="AC592" s="341"/>
      <c r="AD592" s="341"/>
      <c r="AE592" s="341"/>
    </row>
    <row r="593" ht="12.0" customHeight="1">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c r="AA593" s="341"/>
      <c r="AB593" s="341"/>
      <c r="AC593" s="341"/>
      <c r="AD593" s="341"/>
      <c r="AE593" s="341"/>
    </row>
    <row r="594" ht="12.0" customHeight="1">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c r="AA594" s="341"/>
      <c r="AB594" s="341"/>
      <c r="AC594" s="341"/>
      <c r="AD594" s="341"/>
      <c r="AE594" s="341"/>
    </row>
    <row r="595" ht="12.0" customHeight="1">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c r="AA595" s="341"/>
      <c r="AB595" s="341"/>
      <c r="AC595" s="341"/>
      <c r="AD595" s="341"/>
      <c r="AE595" s="341"/>
    </row>
    <row r="596" ht="12.0" customHeight="1">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row>
    <row r="597" ht="12.0" customHeight="1">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c r="AA597" s="341"/>
      <c r="AB597" s="341"/>
      <c r="AC597" s="341"/>
      <c r="AD597" s="341"/>
      <c r="AE597" s="341"/>
    </row>
    <row r="598" ht="12.0" customHeight="1">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c r="AA598" s="341"/>
      <c r="AB598" s="341"/>
      <c r="AC598" s="341"/>
      <c r="AD598" s="341"/>
      <c r="AE598" s="341"/>
    </row>
    <row r="599" ht="12.0" customHeight="1">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row>
    <row r="600" ht="12.0" customHeight="1">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row>
    <row r="601" ht="12.0" customHeight="1">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row>
    <row r="602" ht="12.0" customHeight="1">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row>
    <row r="603" ht="12.0" customHeight="1">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c r="AA603" s="341"/>
      <c r="AB603" s="341"/>
      <c r="AC603" s="341"/>
      <c r="AD603" s="341"/>
      <c r="AE603" s="341"/>
    </row>
    <row r="604" ht="12.0" customHeight="1">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c r="AA604" s="341"/>
      <c r="AB604" s="341"/>
      <c r="AC604" s="341"/>
      <c r="AD604" s="341"/>
      <c r="AE604" s="341"/>
    </row>
    <row r="605" ht="12.0" customHeight="1">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c r="AA605" s="341"/>
      <c r="AB605" s="341"/>
      <c r="AC605" s="341"/>
      <c r="AD605" s="341"/>
      <c r="AE605" s="341"/>
    </row>
    <row r="606" ht="12.0" customHeight="1">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c r="AA606" s="341"/>
      <c r="AB606" s="341"/>
      <c r="AC606" s="341"/>
      <c r="AD606" s="341"/>
      <c r="AE606" s="341"/>
    </row>
    <row r="607" ht="12.0" customHeight="1">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c r="AA607" s="341"/>
      <c r="AB607" s="341"/>
      <c r="AC607" s="341"/>
      <c r="AD607" s="341"/>
      <c r="AE607" s="341"/>
    </row>
    <row r="608" ht="12.0" customHeight="1">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c r="AA608" s="341"/>
      <c r="AB608" s="341"/>
      <c r="AC608" s="341"/>
      <c r="AD608" s="341"/>
      <c r="AE608" s="341"/>
    </row>
    <row r="609" ht="12.0" customHeight="1">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c r="AA609" s="341"/>
      <c r="AB609" s="341"/>
      <c r="AC609" s="341"/>
      <c r="AD609" s="341"/>
      <c r="AE609" s="341"/>
    </row>
    <row r="610" ht="12.0" customHeight="1">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c r="AA610" s="341"/>
      <c r="AB610" s="341"/>
      <c r="AC610" s="341"/>
      <c r="AD610" s="341"/>
      <c r="AE610" s="341"/>
    </row>
    <row r="611" ht="12.0" customHeight="1">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1"/>
      <c r="AE611" s="341"/>
    </row>
    <row r="612" ht="12.0" customHeight="1">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c r="AA612" s="341"/>
      <c r="AB612" s="341"/>
      <c r="AC612" s="341"/>
      <c r="AD612" s="341"/>
      <c r="AE612" s="341"/>
    </row>
    <row r="613" ht="12.0" customHeight="1">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c r="AA613" s="341"/>
      <c r="AB613" s="341"/>
      <c r="AC613" s="341"/>
      <c r="AD613" s="341"/>
      <c r="AE613" s="341"/>
    </row>
    <row r="614" ht="12.0" customHeight="1">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c r="AA614" s="341"/>
      <c r="AB614" s="341"/>
      <c r="AC614" s="341"/>
      <c r="AD614" s="341"/>
      <c r="AE614" s="341"/>
    </row>
    <row r="615" ht="12.0" customHeight="1">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c r="AA615" s="341"/>
      <c r="AB615" s="341"/>
      <c r="AC615" s="341"/>
      <c r="AD615" s="341"/>
      <c r="AE615" s="341"/>
    </row>
    <row r="616" ht="12.0" customHeight="1">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c r="AA616" s="341"/>
      <c r="AB616" s="341"/>
      <c r="AC616" s="341"/>
      <c r="AD616" s="341"/>
      <c r="AE616" s="341"/>
    </row>
    <row r="617" ht="12.0" customHeight="1">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row>
    <row r="618" ht="12.0" customHeight="1">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1"/>
      <c r="AE618" s="341"/>
    </row>
    <row r="619" ht="12.0" customHeight="1">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c r="AA619" s="341"/>
      <c r="AB619" s="341"/>
      <c r="AC619" s="341"/>
      <c r="AD619" s="341"/>
      <c r="AE619" s="341"/>
    </row>
    <row r="620" ht="12.0" customHeight="1">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c r="AA620" s="341"/>
      <c r="AB620" s="341"/>
      <c r="AC620" s="341"/>
      <c r="AD620" s="341"/>
      <c r="AE620" s="341"/>
    </row>
    <row r="621" ht="12.0" customHeight="1">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c r="AA621" s="341"/>
      <c r="AB621" s="341"/>
      <c r="AC621" s="341"/>
      <c r="AD621" s="341"/>
      <c r="AE621" s="341"/>
    </row>
    <row r="622" ht="12.0" customHeight="1">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c r="AA622" s="341"/>
      <c r="AB622" s="341"/>
      <c r="AC622" s="341"/>
      <c r="AD622" s="341"/>
      <c r="AE622" s="341"/>
    </row>
    <row r="623" ht="12.0" customHeight="1">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c r="AA623" s="341"/>
      <c r="AB623" s="341"/>
      <c r="AC623" s="341"/>
      <c r="AD623" s="341"/>
      <c r="AE623" s="341"/>
    </row>
    <row r="624" ht="12.0" customHeight="1">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c r="AA624" s="341"/>
      <c r="AB624" s="341"/>
      <c r="AC624" s="341"/>
      <c r="AD624" s="341"/>
      <c r="AE624" s="341"/>
    </row>
    <row r="625" ht="12.0" customHeight="1">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row>
    <row r="626" ht="12.0" customHeight="1">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c r="AA626" s="341"/>
      <c r="AB626" s="341"/>
      <c r="AC626" s="341"/>
      <c r="AD626" s="341"/>
      <c r="AE626" s="341"/>
    </row>
    <row r="627" ht="12.0" customHeight="1">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c r="AA627" s="341"/>
      <c r="AB627" s="341"/>
      <c r="AC627" s="341"/>
      <c r="AD627" s="341"/>
      <c r="AE627" s="341"/>
    </row>
    <row r="628" ht="12.0" customHeight="1">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c r="AA628" s="341"/>
      <c r="AB628" s="341"/>
      <c r="AC628" s="341"/>
      <c r="AD628" s="341"/>
      <c r="AE628" s="341"/>
    </row>
    <row r="629" ht="12.0" customHeight="1">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row>
    <row r="630" ht="12.0" customHeight="1">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c r="AA630" s="341"/>
      <c r="AB630" s="341"/>
      <c r="AC630" s="341"/>
      <c r="AD630" s="341"/>
      <c r="AE630" s="341"/>
    </row>
    <row r="631" ht="12.0" customHeight="1">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row>
    <row r="632" ht="12.0" customHeight="1">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row>
    <row r="633" ht="12.0" customHeight="1">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1"/>
      <c r="AE633" s="341"/>
    </row>
    <row r="634" ht="12.0" customHeight="1">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c r="AA634" s="341"/>
      <c r="AB634" s="341"/>
      <c r="AC634" s="341"/>
      <c r="AD634" s="341"/>
      <c r="AE634" s="341"/>
    </row>
    <row r="635" ht="12.0" customHeight="1">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c r="AA635" s="341"/>
      <c r="AB635" s="341"/>
      <c r="AC635" s="341"/>
      <c r="AD635" s="341"/>
      <c r="AE635" s="341"/>
    </row>
    <row r="636" ht="12.0" customHeight="1">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c r="AA636" s="341"/>
      <c r="AB636" s="341"/>
      <c r="AC636" s="341"/>
      <c r="AD636" s="341"/>
      <c r="AE636" s="341"/>
    </row>
    <row r="637" ht="12.0" customHeight="1">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c r="AA637" s="341"/>
      <c r="AB637" s="341"/>
      <c r="AC637" s="341"/>
      <c r="AD637" s="341"/>
      <c r="AE637" s="341"/>
    </row>
    <row r="638" ht="12.0" customHeight="1">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c r="AA638" s="341"/>
      <c r="AB638" s="341"/>
      <c r="AC638" s="341"/>
      <c r="AD638" s="341"/>
      <c r="AE638" s="341"/>
    </row>
    <row r="639" ht="12.0" customHeight="1">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c r="AA639" s="341"/>
      <c r="AB639" s="341"/>
      <c r="AC639" s="341"/>
      <c r="AD639" s="341"/>
      <c r="AE639" s="341"/>
    </row>
    <row r="640" ht="12.0" customHeight="1">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c r="AA640" s="341"/>
      <c r="AB640" s="341"/>
      <c r="AC640" s="341"/>
      <c r="AD640" s="341"/>
      <c r="AE640" s="341"/>
    </row>
    <row r="641" ht="12.0" customHeight="1">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c r="AA641" s="341"/>
      <c r="AB641" s="341"/>
      <c r="AC641" s="341"/>
      <c r="AD641" s="341"/>
      <c r="AE641" s="341"/>
    </row>
    <row r="642" ht="12.0" customHeight="1">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c r="AA642" s="341"/>
      <c r="AB642" s="341"/>
      <c r="AC642" s="341"/>
      <c r="AD642" s="341"/>
      <c r="AE642" s="341"/>
    </row>
    <row r="643" ht="12.0" customHeight="1">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c r="AA643" s="341"/>
      <c r="AB643" s="341"/>
      <c r="AC643" s="341"/>
      <c r="AD643" s="341"/>
      <c r="AE643" s="341"/>
    </row>
    <row r="644" ht="12.0" customHeight="1">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row>
    <row r="645" ht="12.0" customHeight="1">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row>
    <row r="646" ht="12.0" customHeight="1">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c r="AA646" s="341"/>
      <c r="AB646" s="341"/>
      <c r="AC646" s="341"/>
      <c r="AD646" s="341"/>
      <c r="AE646" s="341"/>
    </row>
    <row r="647" ht="12.0" customHeight="1">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c r="AA647" s="341"/>
      <c r="AB647" s="341"/>
      <c r="AC647" s="341"/>
      <c r="AD647" s="341"/>
      <c r="AE647" s="341"/>
    </row>
    <row r="648" ht="12.0" customHeight="1">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c r="AA648" s="341"/>
      <c r="AB648" s="341"/>
      <c r="AC648" s="341"/>
      <c r="AD648" s="341"/>
      <c r="AE648" s="341"/>
    </row>
    <row r="649" ht="12.0" customHeight="1">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c r="AA649" s="341"/>
      <c r="AB649" s="341"/>
      <c r="AC649" s="341"/>
      <c r="AD649" s="341"/>
      <c r="AE649" s="341"/>
    </row>
    <row r="650" ht="12.0" customHeight="1">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c r="AA650" s="341"/>
      <c r="AB650" s="341"/>
      <c r="AC650" s="341"/>
      <c r="AD650" s="341"/>
      <c r="AE650" s="341"/>
    </row>
    <row r="651" ht="12.0" customHeight="1">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c r="AA651" s="341"/>
      <c r="AB651" s="341"/>
      <c r="AC651" s="341"/>
      <c r="AD651" s="341"/>
      <c r="AE651" s="341"/>
    </row>
    <row r="652" ht="12.0" customHeight="1">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c r="AA652" s="341"/>
      <c r="AB652" s="341"/>
      <c r="AC652" s="341"/>
      <c r="AD652" s="341"/>
      <c r="AE652" s="341"/>
    </row>
    <row r="653" ht="12.0" customHeight="1">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c r="AA653" s="341"/>
      <c r="AB653" s="341"/>
      <c r="AC653" s="341"/>
      <c r="AD653" s="341"/>
      <c r="AE653" s="341"/>
    </row>
    <row r="654" ht="12.0" customHeight="1">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c r="AA654" s="341"/>
      <c r="AB654" s="341"/>
      <c r="AC654" s="341"/>
      <c r="AD654" s="341"/>
      <c r="AE654" s="341"/>
    </row>
    <row r="655" ht="12.0" customHeight="1">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c r="AA655" s="341"/>
      <c r="AB655" s="341"/>
      <c r="AC655" s="341"/>
      <c r="AD655" s="341"/>
      <c r="AE655" s="341"/>
    </row>
    <row r="656" ht="12.0" customHeight="1">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c r="AA656" s="341"/>
      <c r="AB656" s="341"/>
      <c r="AC656" s="341"/>
      <c r="AD656" s="341"/>
      <c r="AE656" s="341"/>
    </row>
    <row r="657" ht="12.0" customHeight="1">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c r="AA657" s="341"/>
      <c r="AB657" s="341"/>
      <c r="AC657" s="341"/>
      <c r="AD657" s="341"/>
      <c r="AE657" s="341"/>
    </row>
    <row r="658" ht="12.0" customHeight="1">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c r="AA658" s="341"/>
      <c r="AB658" s="341"/>
      <c r="AC658" s="341"/>
      <c r="AD658" s="341"/>
      <c r="AE658" s="341"/>
    </row>
    <row r="659" ht="12.0" customHeight="1">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c r="AA659" s="341"/>
      <c r="AB659" s="341"/>
      <c r="AC659" s="341"/>
      <c r="AD659" s="341"/>
      <c r="AE659" s="341"/>
    </row>
    <row r="660" ht="12.0" customHeight="1">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c r="AA660" s="341"/>
      <c r="AB660" s="341"/>
      <c r="AC660" s="341"/>
      <c r="AD660" s="341"/>
      <c r="AE660" s="341"/>
    </row>
    <row r="661" ht="12.0" customHeight="1">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c r="AA661" s="341"/>
      <c r="AB661" s="341"/>
      <c r="AC661" s="341"/>
      <c r="AD661" s="341"/>
      <c r="AE661" s="341"/>
    </row>
    <row r="662" ht="12.0" customHeight="1">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c r="AA662" s="341"/>
      <c r="AB662" s="341"/>
      <c r="AC662" s="341"/>
      <c r="AD662" s="341"/>
      <c r="AE662" s="341"/>
    </row>
    <row r="663" ht="12.0" customHeight="1">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c r="AA663" s="341"/>
      <c r="AB663" s="341"/>
      <c r="AC663" s="341"/>
      <c r="AD663" s="341"/>
      <c r="AE663" s="341"/>
    </row>
    <row r="664" ht="12.0" customHeight="1">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c r="AA664" s="341"/>
      <c r="AB664" s="341"/>
      <c r="AC664" s="341"/>
      <c r="AD664" s="341"/>
      <c r="AE664" s="341"/>
    </row>
    <row r="665" ht="12.0" customHeight="1">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c r="AA665" s="341"/>
      <c r="AB665" s="341"/>
      <c r="AC665" s="341"/>
      <c r="AD665" s="341"/>
      <c r="AE665" s="341"/>
    </row>
    <row r="666" ht="12.0" customHeight="1">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row>
    <row r="667" ht="12.0" customHeight="1">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c r="AA667" s="341"/>
      <c r="AB667" s="341"/>
      <c r="AC667" s="341"/>
      <c r="AD667" s="341"/>
      <c r="AE667" s="341"/>
    </row>
    <row r="668" ht="12.0" customHeight="1">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c r="AA668" s="341"/>
      <c r="AB668" s="341"/>
      <c r="AC668" s="341"/>
      <c r="AD668" s="341"/>
      <c r="AE668" s="341"/>
    </row>
    <row r="669" ht="12.0" customHeight="1">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c r="AA669" s="341"/>
      <c r="AB669" s="341"/>
      <c r="AC669" s="341"/>
      <c r="AD669" s="341"/>
      <c r="AE669" s="341"/>
    </row>
    <row r="670" ht="12.0" customHeight="1">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c r="AA670" s="341"/>
      <c r="AB670" s="341"/>
      <c r="AC670" s="341"/>
      <c r="AD670" s="341"/>
      <c r="AE670" s="341"/>
    </row>
    <row r="671" ht="12.0" customHeight="1">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c r="AA671" s="341"/>
      <c r="AB671" s="341"/>
      <c r="AC671" s="341"/>
      <c r="AD671" s="341"/>
      <c r="AE671" s="341"/>
    </row>
    <row r="672" ht="12.0" customHeight="1">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c r="AA672" s="341"/>
      <c r="AB672" s="341"/>
      <c r="AC672" s="341"/>
      <c r="AD672" s="341"/>
      <c r="AE672" s="341"/>
    </row>
    <row r="673" ht="12.0" customHeight="1">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c r="AA673" s="341"/>
      <c r="AB673" s="341"/>
      <c r="AC673" s="341"/>
      <c r="AD673" s="341"/>
      <c r="AE673" s="341"/>
    </row>
    <row r="674" ht="12.0" customHeight="1">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c r="AA674" s="341"/>
      <c r="AB674" s="341"/>
      <c r="AC674" s="341"/>
      <c r="AD674" s="341"/>
      <c r="AE674" s="341"/>
    </row>
    <row r="675" ht="12.0" customHeight="1">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c r="AA675" s="341"/>
      <c r="AB675" s="341"/>
      <c r="AC675" s="341"/>
      <c r="AD675" s="341"/>
      <c r="AE675" s="341"/>
    </row>
    <row r="676" ht="12.0" customHeight="1">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row>
    <row r="677" ht="12.0" customHeight="1">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c r="AA677" s="341"/>
      <c r="AB677" s="341"/>
      <c r="AC677" s="341"/>
      <c r="AD677" s="341"/>
      <c r="AE677" s="341"/>
    </row>
    <row r="678" ht="12.0" customHeight="1">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c r="AA678" s="341"/>
      <c r="AB678" s="341"/>
      <c r="AC678" s="341"/>
      <c r="AD678" s="341"/>
      <c r="AE678" s="341"/>
    </row>
    <row r="679" ht="12.0" customHeight="1">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c r="AA679" s="341"/>
      <c r="AB679" s="341"/>
      <c r="AC679" s="341"/>
      <c r="AD679" s="341"/>
      <c r="AE679" s="341"/>
    </row>
    <row r="680" ht="12.0" customHeight="1">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c r="AA680" s="341"/>
      <c r="AB680" s="341"/>
      <c r="AC680" s="341"/>
      <c r="AD680" s="341"/>
      <c r="AE680" s="341"/>
    </row>
    <row r="681" ht="12.0" customHeight="1">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row>
    <row r="682" ht="12.0" customHeight="1">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row>
    <row r="683" ht="12.0" customHeight="1">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row>
    <row r="684" ht="12.0" customHeight="1">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c r="AA684" s="341"/>
      <c r="AB684" s="341"/>
      <c r="AC684" s="341"/>
      <c r="AD684" s="341"/>
      <c r="AE684" s="341"/>
    </row>
    <row r="685" ht="12.0" customHeight="1">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c r="AA685" s="341"/>
      <c r="AB685" s="341"/>
      <c r="AC685" s="341"/>
      <c r="AD685" s="341"/>
      <c r="AE685" s="341"/>
    </row>
    <row r="686" ht="12.0" customHeight="1">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1"/>
      <c r="AE686" s="341"/>
    </row>
    <row r="687" ht="12.0" customHeight="1">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c r="AA687" s="341"/>
      <c r="AB687" s="341"/>
      <c r="AC687" s="341"/>
      <c r="AD687" s="341"/>
      <c r="AE687" s="341"/>
    </row>
    <row r="688" ht="12.0" customHeight="1">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c r="AA688" s="341"/>
      <c r="AB688" s="341"/>
      <c r="AC688" s="341"/>
      <c r="AD688" s="341"/>
      <c r="AE688" s="341"/>
    </row>
    <row r="689" ht="12.0" customHeight="1">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c r="AA689" s="341"/>
      <c r="AB689" s="341"/>
      <c r="AC689" s="341"/>
      <c r="AD689" s="341"/>
      <c r="AE689" s="341"/>
    </row>
    <row r="690" ht="12.0" customHeight="1">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c r="AA690" s="341"/>
      <c r="AB690" s="341"/>
      <c r="AC690" s="341"/>
      <c r="AD690" s="341"/>
      <c r="AE690" s="341"/>
    </row>
    <row r="691" ht="12.0" customHeight="1">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c r="AA691" s="341"/>
      <c r="AB691" s="341"/>
      <c r="AC691" s="341"/>
      <c r="AD691" s="341"/>
      <c r="AE691" s="341"/>
    </row>
    <row r="692" ht="12.0" customHeight="1">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c r="AA692" s="341"/>
      <c r="AB692" s="341"/>
      <c r="AC692" s="341"/>
      <c r="AD692" s="341"/>
      <c r="AE692" s="341"/>
    </row>
    <row r="693" ht="12.0" customHeight="1">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c r="AA693" s="341"/>
      <c r="AB693" s="341"/>
      <c r="AC693" s="341"/>
      <c r="AD693" s="341"/>
      <c r="AE693" s="341"/>
    </row>
    <row r="694" ht="12.0" customHeight="1">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c r="AA694" s="341"/>
      <c r="AB694" s="341"/>
      <c r="AC694" s="341"/>
      <c r="AD694" s="341"/>
      <c r="AE694" s="341"/>
    </row>
    <row r="695" ht="12.0" customHeight="1">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c r="AA695" s="341"/>
      <c r="AB695" s="341"/>
      <c r="AC695" s="341"/>
      <c r="AD695" s="341"/>
      <c r="AE695" s="341"/>
    </row>
    <row r="696" ht="12.0" customHeight="1">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c r="AA696" s="341"/>
      <c r="AB696" s="341"/>
      <c r="AC696" s="341"/>
      <c r="AD696" s="341"/>
      <c r="AE696" s="341"/>
    </row>
    <row r="697" ht="12.0" customHeight="1">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c r="AA697" s="341"/>
      <c r="AB697" s="341"/>
      <c r="AC697" s="341"/>
      <c r="AD697" s="341"/>
      <c r="AE697" s="341"/>
    </row>
    <row r="698" ht="12.0" customHeight="1">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row>
    <row r="699" ht="12.0" customHeight="1">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c r="AA699" s="341"/>
      <c r="AB699" s="341"/>
      <c r="AC699" s="341"/>
      <c r="AD699" s="341"/>
      <c r="AE699" s="341"/>
    </row>
    <row r="700" ht="12.0" customHeight="1">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row>
    <row r="701" ht="12.0" customHeight="1">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c r="AA701" s="341"/>
      <c r="AB701" s="341"/>
      <c r="AC701" s="341"/>
      <c r="AD701" s="341"/>
      <c r="AE701" s="341"/>
    </row>
    <row r="702" ht="12.0" customHeight="1">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1"/>
      <c r="AD702" s="341"/>
      <c r="AE702" s="341"/>
    </row>
    <row r="703" ht="12.0" customHeight="1">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c r="AA703" s="341"/>
      <c r="AB703" s="341"/>
      <c r="AC703" s="341"/>
      <c r="AD703" s="341"/>
      <c r="AE703" s="341"/>
    </row>
    <row r="704" ht="12.0" customHeight="1">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row>
    <row r="705" ht="12.0" customHeight="1">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c r="AA705" s="341"/>
      <c r="AB705" s="341"/>
      <c r="AC705" s="341"/>
      <c r="AD705" s="341"/>
      <c r="AE705" s="341"/>
    </row>
    <row r="706" ht="12.0" customHeight="1">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1"/>
      <c r="AD706" s="341"/>
      <c r="AE706" s="341"/>
    </row>
    <row r="707" ht="12.0" customHeight="1">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row>
    <row r="708" ht="12.0" customHeight="1">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c r="AA708" s="341"/>
      <c r="AB708" s="341"/>
      <c r="AC708" s="341"/>
      <c r="AD708" s="341"/>
      <c r="AE708" s="341"/>
    </row>
    <row r="709" ht="12.0" customHeight="1">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c r="AA709" s="341"/>
      <c r="AB709" s="341"/>
      <c r="AC709" s="341"/>
      <c r="AD709" s="341"/>
      <c r="AE709" s="341"/>
    </row>
    <row r="710" ht="12.0" customHeight="1">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c r="AA710" s="341"/>
      <c r="AB710" s="341"/>
      <c r="AC710" s="341"/>
      <c r="AD710" s="341"/>
      <c r="AE710" s="341"/>
    </row>
    <row r="711" ht="12.0" customHeight="1">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c r="AA711" s="341"/>
      <c r="AB711" s="341"/>
      <c r="AC711" s="341"/>
      <c r="AD711" s="341"/>
      <c r="AE711" s="341"/>
    </row>
    <row r="712" ht="12.0" customHeight="1">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c r="AA712" s="341"/>
      <c r="AB712" s="341"/>
      <c r="AC712" s="341"/>
      <c r="AD712" s="341"/>
      <c r="AE712" s="341"/>
    </row>
    <row r="713" ht="12.0" customHeight="1">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c r="AA713" s="341"/>
      <c r="AB713" s="341"/>
      <c r="AC713" s="341"/>
      <c r="AD713" s="341"/>
      <c r="AE713" s="341"/>
    </row>
    <row r="714" ht="12.0" customHeight="1">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row>
    <row r="715" ht="12.0" customHeight="1">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c r="AA715" s="341"/>
      <c r="AB715" s="341"/>
      <c r="AC715" s="341"/>
      <c r="AD715" s="341"/>
      <c r="AE715" s="341"/>
    </row>
    <row r="716" ht="12.0" customHeight="1">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1"/>
      <c r="AD716" s="341"/>
      <c r="AE716" s="341"/>
    </row>
    <row r="717" ht="12.0" customHeight="1">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row>
    <row r="718" ht="12.0" customHeight="1">
      <c r="A718" s="341"/>
      <c r="B718" s="341"/>
      <c r="C718" s="341"/>
      <c r="D718" s="341"/>
      <c r="E718" s="341"/>
      <c r="F718" s="341"/>
      <c r="G718" s="341"/>
      <c r="H718" s="341"/>
      <c r="I718" s="341"/>
      <c r="J718" s="341"/>
      <c r="K718" s="341"/>
      <c r="L718" s="341"/>
      <c r="M718" s="341"/>
      <c r="N718" s="341"/>
      <c r="O718" s="341"/>
      <c r="P718" s="341"/>
      <c r="Q718" s="341"/>
      <c r="R718" s="341"/>
      <c r="S718" s="341"/>
      <c r="T718" s="341"/>
      <c r="U718" s="341"/>
      <c r="V718" s="341"/>
      <c r="W718" s="341"/>
      <c r="X718" s="341"/>
      <c r="Y718" s="341"/>
      <c r="Z718" s="341"/>
      <c r="AA718" s="341"/>
      <c r="AB718" s="341"/>
      <c r="AC718" s="341"/>
      <c r="AD718" s="341"/>
      <c r="AE718" s="341"/>
    </row>
    <row r="719" ht="12.0" customHeight="1">
      <c r="A719" s="341"/>
      <c r="B719" s="341"/>
      <c r="C719" s="341"/>
      <c r="D719" s="341"/>
      <c r="E719" s="341"/>
      <c r="F719" s="341"/>
      <c r="G719" s="341"/>
      <c r="H719" s="341"/>
      <c r="I719" s="341"/>
      <c r="J719" s="341"/>
      <c r="K719" s="341"/>
      <c r="L719" s="341"/>
      <c r="M719" s="341"/>
      <c r="N719" s="341"/>
      <c r="O719" s="341"/>
      <c r="P719" s="341"/>
      <c r="Q719" s="341"/>
      <c r="R719" s="341"/>
      <c r="S719" s="341"/>
      <c r="T719" s="341"/>
      <c r="U719" s="341"/>
      <c r="V719" s="341"/>
      <c r="W719" s="341"/>
      <c r="X719" s="341"/>
      <c r="Y719" s="341"/>
      <c r="Z719" s="341"/>
      <c r="AA719" s="341"/>
      <c r="AB719" s="341"/>
      <c r="AC719" s="341"/>
      <c r="AD719" s="341"/>
      <c r="AE719" s="341"/>
    </row>
    <row r="720" ht="12.0" customHeight="1">
      <c r="A720" s="341"/>
      <c r="B720" s="341"/>
      <c r="C720" s="341"/>
      <c r="D720" s="341"/>
      <c r="E720" s="341"/>
      <c r="F720" s="341"/>
      <c r="G720" s="341"/>
      <c r="H720" s="341"/>
      <c r="I720" s="341"/>
      <c r="J720" s="341"/>
      <c r="K720" s="341"/>
      <c r="L720" s="341"/>
      <c r="M720" s="341"/>
      <c r="N720" s="341"/>
      <c r="O720" s="341"/>
      <c r="P720" s="341"/>
      <c r="Q720" s="341"/>
      <c r="R720" s="341"/>
      <c r="S720" s="341"/>
      <c r="T720" s="341"/>
      <c r="U720" s="341"/>
      <c r="V720" s="341"/>
      <c r="W720" s="341"/>
      <c r="X720" s="341"/>
      <c r="Y720" s="341"/>
      <c r="Z720" s="341"/>
      <c r="AA720" s="341"/>
      <c r="AB720" s="341"/>
      <c r="AC720" s="341"/>
      <c r="AD720" s="341"/>
      <c r="AE720" s="341"/>
    </row>
    <row r="721" ht="12.0" customHeight="1">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c r="AA721" s="341"/>
      <c r="AB721" s="341"/>
      <c r="AC721" s="341"/>
      <c r="AD721" s="341"/>
      <c r="AE721" s="341"/>
    </row>
    <row r="722" ht="12.0" customHeight="1">
      <c r="A722" s="341"/>
      <c r="B722" s="341"/>
      <c r="C722" s="341"/>
      <c r="D722" s="341"/>
      <c r="E722" s="341"/>
      <c r="F722" s="341"/>
      <c r="G722" s="341"/>
      <c r="H722" s="341"/>
      <c r="I722" s="341"/>
      <c r="J722" s="341"/>
      <c r="K722" s="341"/>
      <c r="L722" s="341"/>
      <c r="M722" s="341"/>
      <c r="N722" s="341"/>
      <c r="O722" s="341"/>
      <c r="P722" s="341"/>
      <c r="Q722" s="341"/>
      <c r="R722" s="341"/>
      <c r="S722" s="341"/>
      <c r="T722" s="341"/>
      <c r="U722" s="341"/>
      <c r="V722" s="341"/>
      <c r="W722" s="341"/>
      <c r="X722" s="341"/>
      <c r="Y722" s="341"/>
      <c r="Z722" s="341"/>
      <c r="AA722" s="341"/>
      <c r="AB722" s="341"/>
      <c r="AC722" s="341"/>
      <c r="AD722" s="341"/>
      <c r="AE722" s="341"/>
    </row>
    <row r="723" ht="12.0" customHeight="1">
      <c r="A723" s="341"/>
      <c r="B723" s="341"/>
      <c r="C723" s="341"/>
      <c r="D723" s="341"/>
      <c r="E723" s="341"/>
      <c r="F723" s="341"/>
      <c r="G723" s="341"/>
      <c r="H723" s="341"/>
      <c r="I723" s="341"/>
      <c r="J723" s="341"/>
      <c r="K723" s="341"/>
      <c r="L723" s="341"/>
      <c r="M723" s="341"/>
      <c r="N723" s="341"/>
      <c r="O723" s="341"/>
      <c r="P723" s="341"/>
      <c r="Q723" s="341"/>
      <c r="R723" s="341"/>
      <c r="S723" s="341"/>
      <c r="T723" s="341"/>
      <c r="U723" s="341"/>
      <c r="V723" s="341"/>
      <c r="W723" s="341"/>
      <c r="X723" s="341"/>
      <c r="Y723" s="341"/>
      <c r="Z723" s="341"/>
      <c r="AA723" s="341"/>
      <c r="AB723" s="341"/>
      <c r="AC723" s="341"/>
      <c r="AD723" s="341"/>
      <c r="AE723" s="341"/>
    </row>
    <row r="724" ht="12.0" customHeight="1">
      <c r="A724" s="341"/>
      <c r="B724" s="341"/>
      <c r="C724" s="341"/>
      <c r="D724" s="341"/>
      <c r="E724" s="341"/>
      <c r="F724" s="341"/>
      <c r="G724" s="341"/>
      <c r="H724" s="341"/>
      <c r="I724" s="341"/>
      <c r="J724" s="341"/>
      <c r="K724" s="341"/>
      <c r="L724" s="341"/>
      <c r="M724" s="341"/>
      <c r="N724" s="341"/>
      <c r="O724" s="341"/>
      <c r="P724" s="341"/>
      <c r="Q724" s="341"/>
      <c r="R724" s="341"/>
      <c r="S724" s="341"/>
      <c r="T724" s="341"/>
      <c r="U724" s="341"/>
      <c r="V724" s="341"/>
      <c r="W724" s="341"/>
      <c r="X724" s="341"/>
      <c r="Y724" s="341"/>
      <c r="Z724" s="341"/>
      <c r="AA724" s="341"/>
      <c r="AB724" s="341"/>
      <c r="AC724" s="341"/>
      <c r="AD724" s="341"/>
      <c r="AE724" s="341"/>
    </row>
    <row r="725" ht="12.0" customHeight="1">
      <c r="A725" s="341"/>
      <c r="B725" s="341"/>
      <c r="C725" s="341"/>
      <c r="D725" s="341"/>
      <c r="E725" s="341"/>
      <c r="F725" s="341"/>
      <c r="G725" s="341"/>
      <c r="H725" s="341"/>
      <c r="I725" s="341"/>
      <c r="J725" s="341"/>
      <c r="K725" s="341"/>
      <c r="L725" s="341"/>
      <c r="M725" s="341"/>
      <c r="N725" s="341"/>
      <c r="O725" s="341"/>
      <c r="P725" s="341"/>
      <c r="Q725" s="341"/>
      <c r="R725" s="341"/>
      <c r="S725" s="341"/>
      <c r="T725" s="341"/>
      <c r="U725" s="341"/>
      <c r="V725" s="341"/>
      <c r="W725" s="341"/>
      <c r="X725" s="341"/>
      <c r="Y725" s="341"/>
      <c r="Z725" s="341"/>
      <c r="AA725" s="341"/>
      <c r="AB725" s="341"/>
      <c r="AC725" s="341"/>
      <c r="AD725" s="341"/>
      <c r="AE725" s="341"/>
    </row>
    <row r="726" ht="12.0" customHeight="1">
      <c r="A726" s="341"/>
      <c r="B726" s="341"/>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row>
    <row r="727" ht="12.0" customHeight="1">
      <c r="A727" s="341"/>
      <c r="B727" s="341"/>
      <c r="C727" s="341"/>
      <c r="D727" s="341"/>
      <c r="E727" s="341"/>
      <c r="F727" s="341"/>
      <c r="G727" s="341"/>
      <c r="H727" s="341"/>
      <c r="I727" s="341"/>
      <c r="J727" s="341"/>
      <c r="K727" s="341"/>
      <c r="L727" s="341"/>
      <c r="M727" s="341"/>
      <c r="N727" s="341"/>
      <c r="O727" s="341"/>
      <c r="P727" s="341"/>
      <c r="Q727" s="341"/>
      <c r="R727" s="341"/>
      <c r="S727" s="341"/>
      <c r="T727" s="341"/>
      <c r="U727" s="341"/>
      <c r="V727" s="341"/>
      <c r="W727" s="341"/>
      <c r="X727" s="341"/>
      <c r="Y727" s="341"/>
      <c r="Z727" s="341"/>
      <c r="AA727" s="341"/>
      <c r="AB727" s="341"/>
      <c r="AC727" s="341"/>
      <c r="AD727" s="341"/>
      <c r="AE727" s="341"/>
    </row>
    <row r="728" ht="12.0" customHeight="1">
      <c r="A728" s="341"/>
      <c r="B728" s="341"/>
      <c r="C728" s="341"/>
      <c r="D728" s="341"/>
      <c r="E728" s="341"/>
      <c r="F728" s="341"/>
      <c r="G728" s="341"/>
      <c r="H728" s="341"/>
      <c r="I728" s="341"/>
      <c r="J728" s="341"/>
      <c r="K728" s="341"/>
      <c r="L728" s="341"/>
      <c r="M728" s="341"/>
      <c r="N728" s="341"/>
      <c r="O728" s="341"/>
      <c r="P728" s="341"/>
      <c r="Q728" s="341"/>
      <c r="R728" s="341"/>
      <c r="S728" s="341"/>
      <c r="T728" s="341"/>
      <c r="U728" s="341"/>
      <c r="V728" s="341"/>
      <c r="W728" s="341"/>
      <c r="X728" s="341"/>
      <c r="Y728" s="341"/>
      <c r="Z728" s="341"/>
      <c r="AA728" s="341"/>
      <c r="AB728" s="341"/>
      <c r="AC728" s="341"/>
      <c r="AD728" s="341"/>
      <c r="AE728" s="341"/>
    </row>
    <row r="729" ht="12.0" customHeight="1">
      <c r="A729" s="341"/>
      <c r="B729" s="341"/>
      <c r="C729" s="341"/>
      <c r="D729" s="341"/>
      <c r="E729" s="341"/>
      <c r="F729" s="341"/>
      <c r="G729" s="341"/>
      <c r="H729" s="341"/>
      <c r="I729" s="341"/>
      <c r="J729" s="341"/>
      <c r="K729" s="341"/>
      <c r="L729" s="341"/>
      <c r="M729" s="341"/>
      <c r="N729" s="341"/>
      <c r="O729" s="341"/>
      <c r="P729" s="341"/>
      <c r="Q729" s="341"/>
      <c r="R729" s="341"/>
      <c r="S729" s="341"/>
      <c r="T729" s="341"/>
      <c r="U729" s="341"/>
      <c r="V729" s="341"/>
      <c r="W729" s="341"/>
      <c r="X729" s="341"/>
      <c r="Y729" s="341"/>
      <c r="Z729" s="341"/>
      <c r="AA729" s="341"/>
      <c r="AB729" s="341"/>
      <c r="AC729" s="341"/>
      <c r="AD729" s="341"/>
      <c r="AE729" s="341"/>
    </row>
    <row r="730" ht="12.0" customHeight="1">
      <c r="A730" s="341"/>
      <c r="B730" s="341"/>
      <c r="C730" s="341"/>
      <c r="D730" s="341"/>
      <c r="E730" s="341"/>
      <c r="F730" s="341"/>
      <c r="G730" s="341"/>
      <c r="H730" s="341"/>
      <c r="I730" s="341"/>
      <c r="J730" s="341"/>
      <c r="K730" s="341"/>
      <c r="L730" s="341"/>
      <c r="M730" s="341"/>
      <c r="N730" s="341"/>
      <c r="O730" s="341"/>
      <c r="P730" s="341"/>
      <c r="Q730" s="341"/>
      <c r="R730" s="341"/>
      <c r="S730" s="341"/>
      <c r="T730" s="341"/>
      <c r="U730" s="341"/>
      <c r="V730" s="341"/>
      <c r="W730" s="341"/>
      <c r="X730" s="341"/>
      <c r="Y730" s="341"/>
      <c r="Z730" s="341"/>
      <c r="AA730" s="341"/>
      <c r="AB730" s="341"/>
      <c r="AC730" s="341"/>
      <c r="AD730" s="341"/>
      <c r="AE730" s="341"/>
    </row>
    <row r="731" ht="12.0" customHeight="1">
      <c r="A731" s="341"/>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c r="AA731" s="341"/>
      <c r="AB731" s="341"/>
      <c r="AC731" s="341"/>
      <c r="AD731" s="341"/>
      <c r="AE731" s="341"/>
    </row>
    <row r="732" ht="12.0" customHeight="1">
      <c r="A732" s="341"/>
      <c r="B732" s="341"/>
      <c r="C732" s="341"/>
      <c r="D732" s="341"/>
      <c r="E732" s="341"/>
      <c r="F732" s="341"/>
      <c r="G732" s="341"/>
      <c r="H732" s="341"/>
      <c r="I732" s="341"/>
      <c r="J732" s="341"/>
      <c r="K732" s="341"/>
      <c r="L732" s="341"/>
      <c r="M732" s="341"/>
      <c r="N732" s="341"/>
      <c r="O732" s="341"/>
      <c r="P732" s="341"/>
      <c r="Q732" s="341"/>
      <c r="R732" s="341"/>
      <c r="S732" s="341"/>
      <c r="T732" s="341"/>
      <c r="U732" s="341"/>
      <c r="V732" s="341"/>
      <c r="W732" s="341"/>
      <c r="X732" s="341"/>
      <c r="Y732" s="341"/>
      <c r="Z732" s="341"/>
      <c r="AA732" s="341"/>
      <c r="AB732" s="341"/>
      <c r="AC732" s="341"/>
      <c r="AD732" s="341"/>
      <c r="AE732" s="341"/>
    </row>
    <row r="733" ht="12.0" customHeight="1">
      <c r="A733" s="341"/>
      <c r="B733" s="341"/>
      <c r="C733" s="341"/>
      <c r="D733" s="341"/>
      <c r="E733" s="341"/>
      <c r="F733" s="341"/>
      <c r="G733" s="341"/>
      <c r="H733" s="341"/>
      <c r="I733" s="341"/>
      <c r="J733" s="341"/>
      <c r="K733" s="341"/>
      <c r="L733" s="341"/>
      <c r="M733" s="341"/>
      <c r="N733" s="341"/>
      <c r="O733" s="341"/>
      <c r="P733" s="341"/>
      <c r="Q733" s="341"/>
      <c r="R733" s="341"/>
      <c r="S733" s="341"/>
      <c r="T733" s="341"/>
      <c r="U733" s="341"/>
      <c r="V733" s="341"/>
      <c r="W733" s="341"/>
      <c r="X733" s="341"/>
      <c r="Y733" s="341"/>
      <c r="Z733" s="341"/>
      <c r="AA733" s="341"/>
      <c r="AB733" s="341"/>
      <c r="AC733" s="341"/>
      <c r="AD733" s="341"/>
      <c r="AE733" s="341"/>
    </row>
    <row r="734" ht="12.0" customHeight="1">
      <c r="A734" s="341"/>
      <c r="B734" s="341"/>
      <c r="C734" s="341"/>
      <c r="D734" s="341"/>
      <c r="E734" s="341"/>
      <c r="F734" s="341"/>
      <c r="G734" s="341"/>
      <c r="H734" s="341"/>
      <c r="I734" s="341"/>
      <c r="J734" s="341"/>
      <c r="K734" s="341"/>
      <c r="L734" s="341"/>
      <c r="M734" s="341"/>
      <c r="N734" s="341"/>
      <c r="O734" s="341"/>
      <c r="P734" s="341"/>
      <c r="Q734" s="341"/>
      <c r="R734" s="341"/>
      <c r="S734" s="341"/>
      <c r="T734" s="341"/>
      <c r="U734" s="341"/>
      <c r="V734" s="341"/>
      <c r="W734" s="341"/>
      <c r="X734" s="341"/>
      <c r="Y734" s="341"/>
      <c r="Z734" s="341"/>
      <c r="AA734" s="341"/>
      <c r="AB734" s="341"/>
      <c r="AC734" s="341"/>
      <c r="AD734" s="341"/>
      <c r="AE734" s="341"/>
    </row>
    <row r="735" ht="12.0" customHeight="1">
      <c r="A735" s="341"/>
      <c r="B735" s="341"/>
      <c r="C735" s="341"/>
      <c r="D735" s="341"/>
      <c r="E735" s="341"/>
      <c r="F735" s="341"/>
      <c r="G735" s="341"/>
      <c r="H735" s="341"/>
      <c r="I735" s="341"/>
      <c r="J735" s="341"/>
      <c r="K735" s="341"/>
      <c r="L735" s="341"/>
      <c r="M735" s="341"/>
      <c r="N735" s="341"/>
      <c r="O735" s="341"/>
      <c r="P735" s="341"/>
      <c r="Q735" s="341"/>
      <c r="R735" s="341"/>
      <c r="S735" s="341"/>
      <c r="T735" s="341"/>
      <c r="U735" s="341"/>
      <c r="V735" s="341"/>
      <c r="W735" s="341"/>
      <c r="X735" s="341"/>
      <c r="Y735" s="341"/>
      <c r="Z735" s="341"/>
      <c r="AA735" s="341"/>
      <c r="AB735" s="341"/>
      <c r="AC735" s="341"/>
      <c r="AD735" s="341"/>
      <c r="AE735" s="341"/>
    </row>
    <row r="736" ht="12.0" customHeight="1">
      <c r="A736" s="341"/>
      <c r="B736" s="341"/>
      <c r="C736" s="341"/>
      <c r="D736" s="341"/>
      <c r="E736" s="341"/>
      <c r="F736" s="341"/>
      <c r="G736" s="341"/>
      <c r="H736" s="341"/>
      <c r="I736" s="341"/>
      <c r="J736" s="341"/>
      <c r="K736" s="341"/>
      <c r="L736" s="341"/>
      <c r="M736" s="341"/>
      <c r="N736" s="341"/>
      <c r="O736" s="341"/>
      <c r="P736" s="341"/>
      <c r="Q736" s="341"/>
      <c r="R736" s="341"/>
      <c r="S736" s="341"/>
      <c r="T736" s="341"/>
      <c r="U736" s="341"/>
      <c r="V736" s="341"/>
      <c r="W736" s="341"/>
      <c r="X736" s="341"/>
      <c r="Y736" s="341"/>
      <c r="Z736" s="341"/>
      <c r="AA736" s="341"/>
      <c r="AB736" s="341"/>
      <c r="AC736" s="341"/>
      <c r="AD736" s="341"/>
      <c r="AE736" s="341"/>
    </row>
    <row r="737" ht="12.0" customHeight="1">
      <c r="A737" s="341"/>
      <c r="B737" s="341"/>
      <c r="C737" s="341"/>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c r="AA737" s="341"/>
      <c r="AB737" s="341"/>
      <c r="AC737" s="341"/>
      <c r="AD737" s="341"/>
      <c r="AE737" s="341"/>
    </row>
    <row r="738" ht="12.0" customHeight="1">
      <c r="A738" s="341"/>
      <c r="B738" s="341"/>
      <c r="C738" s="341"/>
      <c r="D738" s="341"/>
      <c r="E738" s="341"/>
      <c r="F738" s="341"/>
      <c r="G738" s="341"/>
      <c r="H738" s="341"/>
      <c r="I738" s="341"/>
      <c r="J738" s="341"/>
      <c r="K738" s="341"/>
      <c r="L738" s="341"/>
      <c r="M738" s="341"/>
      <c r="N738" s="341"/>
      <c r="O738" s="341"/>
      <c r="P738" s="341"/>
      <c r="Q738" s="341"/>
      <c r="R738" s="341"/>
      <c r="S738" s="341"/>
      <c r="T738" s="341"/>
      <c r="U738" s="341"/>
      <c r="V738" s="341"/>
      <c r="W738" s="341"/>
      <c r="X738" s="341"/>
      <c r="Y738" s="341"/>
      <c r="Z738" s="341"/>
      <c r="AA738" s="341"/>
      <c r="AB738" s="341"/>
      <c r="AC738" s="341"/>
      <c r="AD738" s="341"/>
      <c r="AE738" s="341"/>
    </row>
    <row r="739" ht="12.0" customHeight="1">
      <c r="A739" s="341"/>
      <c r="B739" s="341"/>
      <c r="C739" s="341"/>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41"/>
      <c r="AD739" s="341"/>
      <c r="AE739" s="341"/>
    </row>
    <row r="740" ht="12.0" customHeight="1">
      <c r="A740" s="341"/>
      <c r="B740" s="341"/>
      <c r="C740" s="341"/>
      <c r="D740" s="341"/>
      <c r="E740" s="341"/>
      <c r="F740" s="341"/>
      <c r="G740" s="341"/>
      <c r="H740" s="341"/>
      <c r="I740" s="341"/>
      <c r="J740" s="341"/>
      <c r="K740" s="341"/>
      <c r="L740" s="341"/>
      <c r="M740" s="341"/>
      <c r="N740" s="341"/>
      <c r="O740" s="341"/>
      <c r="P740" s="341"/>
      <c r="Q740" s="341"/>
      <c r="R740" s="341"/>
      <c r="S740" s="341"/>
      <c r="T740" s="341"/>
      <c r="U740" s="341"/>
      <c r="V740" s="341"/>
      <c r="W740" s="341"/>
      <c r="X740" s="341"/>
      <c r="Y740" s="341"/>
      <c r="Z740" s="341"/>
      <c r="AA740" s="341"/>
      <c r="AB740" s="341"/>
      <c r="AC740" s="341"/>
      <c r="AD740" s="341"/>
      <c r="AE740" s="341"/>
    </row>
    <row r="741" ht="12.0" customHeight="1">
      <c r="A741" s="341"/>
      <c r="B741" s="341"/>
      <c r="C741" s="341"/>
      <c r="D741" s="341"/>
      <c r="E741" s="341"/>
      <c r="F741" s="341"/>
      <c r="G741" s="341"/>
      <c r="H741" s="341"/>
      <c r="I741" s="341"/>
      <c r="J741" s="341"/>
      <c r="K741" s="341"/>
      <c r="L741" s="341"/>
      <c r="M741" s="341"/>
      <c r="N741" s="341"/>
      <c r="O741" s="341"/>
      <c r="P741" s="341"/>
      <c r="Q741" s="341"/>
      <c r="R741" s="341"/>
      <c r="S741" s="341"/>
      <c r="T741" s="341"/>
      <c r="U741" s="341"/>
      <c r="V741" s="341"/>
      <c r="W741" s="341"/>
      <c r="X741" s="341"/>
      <c r="Y741" s="341"/>
      <c r="Z741" s="341"/>
      <c r="AA741" s="341"/>
      <c r="AB741" s="341"/>
      <c r="AC741" s="341"/>
      <c r="AD741" s="341"/>
      <c r="AE741" s="341"/>
    </row>
    <row r="742" ht="12.0" customHeight="1">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row>
    <row r="743" ht="12.0" customHeight="1">
      <c r="A743" s="341"/>
      <c r="B743" s="341"/>
      <c r="C743" s="341"/>
      <c r="D743" s="341"/>
      <c r="E743" s="341"/>
      <c r="F743" s="341"/>
      <c r="G743" s="341"/>
      <c r="H743" s="341"/>
      <c r="I743" s="341"/>
      <c r="J743" s="341"/>
      <c r="K743" s="341"/>
      <c r="L743" s="341"/>
      <c r="M743" s="341"/>
      <c r="N743" s="341"/>
      <c r="O743" s="341"/>
      <c r="P743" s="341"/>
      <c r="Q743" s="341"/>
      <c r="R743" s="341"/>
      <c r="S743" s="341"/>
      <c r="T743" s="341"/>
      <c r="U743" s="341"/>
      <c r="V743" s="341"/>
      <c r="W743" s="341"/>
      <c r="X743" s="341"/>
      <c r="Y743" s="341"/>
      <c r="Z743" s="341"/>
      <c r="AA743" s="341"/>
      <c r="AB743" s="341"/>
      <c r="AC743" s="341"/>
      <c r="AD743" s="341"/>
      <c r="AE743" s="341"/>
    </row>
    <row r="744" ht="12.0" customHeight="1">
      <c r="A744" s="341"/>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row>
    <row r="745" ht="12.0" customHeight="1">
      <c r="A745" s="341"/>
      <c r="B745" s="341"/>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c r="AA745" s="341"/>
      <c r="AB745" s="341"/>
      <c r="AC745" s="341"/>
      <c r="AD745" s="341"/>
      <c r="AE745" s="341"/>
    </row>
    <row r="746" ht="12.0" customHeight="1">
      <c r="A746" s="341"/>
      <c r="B746" s="341"/>
      <c r="C746" s="341"/>
      <c r="D746" s="341"/>
      <c r="E746" s="341"/>
      <c r="F746" s="341"/>
      <c r="G746" s="341"/>
      <c r="H746" s="341"/>
      <c r="I746" s="341"/>
      <c r="J746" s="341"/>
      <c r="K746" s="341"/>
      <c r="L746" s="341"/>
      <c r="M746" s="341"/>
      <c r="N746" s="341"/>
      <c r="O746" s="341"/>
      <c r="P746" s="341"/>
      <c r="Q746" s="341"/>
      <c r="R746" s="341"/>
      <c r="S746" s="341"/>
      <c r="T746" s="341"/>
      <c r="U746" s="341"/>
      <c r="V746" s="341"/>
      <c r="W746" s="341"/>
      <c r="X746" s="341"/>
      <c r="Y746" s="341"/>
      <c r="Z746" s="341"/>
      <c r="AA746" s="341"/>
      <c r="AB746" s="341"/>
      <c r="AC746" s="341"/>
      <c r="AD746" s="341"/>
      <c r="AE746" s="341"/>
    </row>
    <row r="747" ht="12.0" customHeight="1">
      <c r="A747" s="341"/>
      <c r="B747" s="341"/>
      <c r="C747" s="341"/>
      <c r="D747" s="341"/>
      <c r="E747" s="341"/>
      <c r="F747" s="341"/>
      <c r="G747" s="341"/>
      <c r="H747" s="341"/>
      <c r="I747" s="341"/>
      <c r="J747" s="341"/>
      <c r="K747" s="341"/>
      <c r="L747" s="341"/>
      <c r="M747" s="341"/>
      <c r="N747" s="341"/>
      <c r="O747" s="341"/>
      <c r="P747" s="341"/>
      <c r="Q747" s="341"/>
      <c r="R747" s="341"/>
      <c r="S747" s="341"/>
      <c r="T747" s="341"/>
      <c r="U747" s="341"/>
      <c r="V747" s="341"/>
      <c r="W747" s="341"/>
      <c r="X747" s="341"/>
      <c r="Y747" s="341"/>
      <c r="Z747" s="341"/>
      <c r="AA747" s="341"/>
      <c r="AB747" s="341"/>
      <c r="AC747" s="341"/>
      <c r="AD747" s="341"/>
      <c r="AE747" s="341"/>
    </row>
    <row r="748" ht="12.0" customHeight="1">
      <c r="A748" s="341"/>
      <c r="B748" s="341"/>
      <c r="C748" s="341"/>
      <c r="D748" s="341"/>
      <c r="E748" s="341"/>
      <c r="F748" s="341"/>
      <c r="G748" s="341"/>
      <c r="H748" s="341"/>
      <c r="I748" s="341"/>
      <c r="J748" s="341"/>
      <c r="K748" s="341"/>
      <c r="L748" s="341"/>
      <c r="M748" s="341"/>
      <c r="N748" s="341"/>
      <c r="O748" s="341"/>
      <c r="P748" s="341"/>
      <c r="Q748" s="341"/>
      <c r="R748" s="341"/>
      <c r="S748" s="341"/>
      <c r="T748" s="341"/>
      <c r="U748" s="341"/>
      <c r="V748" s="341"/>
      <c r="W748" s="341"/>
      <c r="X748" s="341"/>
      <c r="Y748" s="341"/>
      <c r="Z748" s="341"/>
      <c r="AA748" s="341"/>
      <c r="AB748" s="341"/>
      <c r="AC748" s="341"/>
      <c r="AD748" s="341"/>
      <c r="AE748" s="341"/>
    </row>
    <row r="749" ht="12.0" customHeight="1">
      <c r="A749" s="341"/>
      <c r="B749" s="341"/>
      <c r="C749" s="341"/>
      <c r="D749" s="341"/>
      <c r="E749" s="341"/>
      <c r="F749" s="341"/>
      <c r="G749" s="341"/>
      <c r="H749" s="341"/>
      <c r="I749" s="341"/>
      <c r="J749" s="341"/>
      <c r="K749" s="341"/>
      <c r="L749" s="341"/>
      <c r="M749" s="341"/>
      <c r="N749" s="341"/>
      <c r="O749" s="341"/>
      <c r="P749" s="341"/>
      <c r="Q749" s="341"/>
      <c r="R749" s="341"/>
      <c r="S749" s="341"/>
      <c r="T749" s="341"/>
      <c r="U749" s="341"/>
      <c r="V749" s="341"/>
      <c r="W749" s="341"/>
      <c r="X749" s="341"/>
      <c r="Y749" s="341"/>
      <c r="Z749" s="341"/>
      <c r="AA749" s="341"/>
      <c r="AB749" s="341"/>
      <c r="AC749" s="341"/>
      <c r="AD749" s="341"/>
      <c r="AE749" s="341"/>
    </row>
    <row r="750" ht="12.0" customHeight="1">
      <c r="A750" s="341"/>
      <c r="B750" s="341"/>
      <c r="C750" s="341"/>
      <c r="D750" s="341"/>
      <c r="E750" s="341"/>
      <c r="F750" s="341"/>
      <c r="G750" s="341"/>
      <c r="H750" s="341"/>
      <c r="I750" s="341"/>
      <c r="J750" s="341"/>
      <c r="K750" s="341"/>
      <c r="L750" s="341"/>
      <c r="M750" s="341"/>
      <c r="N750" s="341"/>
      <c r="O750" s="341"/>
      <c r="P750" s="341"/>
      <c r="Q750" s="341"/>
      <c r="R750" s="341"/>
      <c r="S750" s="341"/>
      <c r="T750" s="341"/>
      <c r="U750" s="341"/>
      <c r="V750" s="341"/>
      <c r="W750" s="341"/>
      <c r="X750" s="341"/>
      <c r="Y750" s="341"/>
      <c r="Z750" s="341"/>
      <c r="AA750" s="341"/>
      <c r="AB750" s="341"/>
      <c r="AC750" s="341"/>
      <c r="AD750" s="341"/>
      <c r="AE750" s="341"/>
    </row>
    <row r="751" ht="12.0" customHeight="1">
      <c r="A751" s="341"/>
      <c r="B751" s="341"/>
      <c r="C751" s="341"/>
      <c r="D751" s="341"/>
      <c r="E751" s="341"/>
      <c r="F751" s="341"/>
      <c r="G751" s="341"/>
      <c r="H751" s="341"/>
      <c r="I751" s="341"/>
      <c r="J751" s="341"/>
      <c r="K751" s="341"/>
      <c r="L751" s="341"/>
      <c r="M751" s="341"/>
      <c r="N751" s="341"/>
      <c r="O751" s="341"/>
      <c r="P751" s="341"/>
      <c r="Q751" s="341"/>
      <c r="R751" s="341"/>
      <c r="S751" s="341"/>
      <c r="T751" s="341"/>
      <c r="U751" s="341"/>
      <c r="V751" s="341"/>
      <c r="W751" s="341"/>
      <c r="X751" s="341"/>
      <c r="Y751" s="341"/>
      <c r="Z751" s="341"/>
      <c r="AA751" s="341"/>
      <c r="AB751" s="341"/>
      <c r="AC751" s="341"/>
      <c r="AD751" s="341"/>
      <c r="AE751" s="341"/>
    </row>
    <row r="752" ht="12.0" customHeight="1">
      <c r="A752" s="341"/>
      <c r="B752" s="341"/>
      <c r="C752" s="341"/>
      <c r="D752" s="341"/>
      <c r="E752" s="341"/>
      <c r="F752" s="341"/>
      <c r="G752" s="341"/>
      <c r="H752" s="341"/>
      <c r="I752" s="341"/>
      <c r="J752" s="341"/>
      <c r="K752" s="341"/>
      <c r="L752" s="341"/>
      <c r="M752" s="341"/>
      <c r="N752" s="341"/>
      <c r="O752" s="341"/>
      <c r="P752" s="341"/>
      <c r="Q752" s="341"/>
      <c r="R752" s="341"/>
      <c r="S752" s="341"/>
      <c r="T752" s="341"/>
      <c r="U752" s="341"/>
      <c r="V752" s="341"/>
      <c r="W752" s="341"/>
      <c r="X752" s="341"/>
      <c r="Y752" s="341"/>
      <c r="Z752" s="341"/>
      <c r="AA752" s="341"/>
      <c r="AB752" s="341"/>
      <c r="AC752" s="341"/>
      <c r="AD752" s="341"/>
      <c r="AE752" s="341"/>
    </row>
    <row r="753" ht="12.0" customHeight="1">
      <c r="A753" s="341"/>
      <c r="B753" s="341"/>
      <c r="C753" s="341"/>
      <c r="D753" s="341"/>
      <c r="E753" s="341"/>
      <c r="F753" s="341"/>
      <c r="G753" s="341"/>
      <c r="H753" s="341"/>
      <c r="I753" s="341"/>
      <c r="J753" s="341"/>
      <c r="K753" s="341"/>
      <c r="L753" s="341"/>
      <c r="M753" s="341"/>
      <c r="N753" s="341"/>
      <c r="O753" s="341"/>
      <c r="P753" s="341"/>
      <c r="Q753" s="341"/>
      <c r="R753" s="341"/>
      <c r="S753" s="341"/>
      <c r="T753" s="341"/>
      <c r="U753" s="341"/>
      <c r="V753" s="341"/>
      <c r="W753" s="341"/>
      <c r="X753" s="341"/>
      <c r="Y753" s="341"/>
      <c r="Z753" s="341"/>
      <c r="AA753" s="341"/>
      <c r="AB753" s="341"/>
      <c r="AC753" s="341"/>
      <c r="AD753" s="341"/>
      <c r="AE753" s="341"/>
    </row>
    <row r="754" ht="12.0" customHeight="1">
      <c r="A754" s="341"/>
      <c r="B754" s="341"/>
      <c r="C754" s="341"/>
      <c r="D754" s="341"/>
      <c r="E754" s="341"/>
      <c r="F754" s="341"/>
      <c r="G754" s="341"/>
      <c r="H754" s="341"/>
      <c r="I754" s="341"/>
      <c r="J754" s="341"/>
      <c r="K754" s="341"/>
      <c r="L754" s="341"/>
      <c r="M754" s="341"/>
      <c r="N754" s="341"/>
      <c r="O754" s="341"/>
      <c r="P754" s="341"/>
      <c r="Q754" s="341"/>
      <c r="R754" s="341"/>
      <c r="S754" s="341"/>
      <c r="T754" s="341"/>
      <c r="U754" s="341"/>
      <c r="V754" s="341"/>
      <c r="W754" s="341"/>
      <c r="X754" s="341"/>
      <c r="Y754" s="341"/>
      <c r="Z754" s="341"/>
      <c r="AA754" s="341"/>
      <c r="AB754" s="341"/>
      <c r="AC754" s="341"/>
      <c r="AD754" s="341"/>
      <c r="AE754" s="341"/>
    </row>
    <row r="755" ht="12.0" customHeight="1">
      <c r="A755" s="341"/>
      <c r="B755" s="341"/>
      <c r="C755" s="341"/>
      <c r="D755" s="341"/>
      <c r="E755" s="341"/>
      <c r="F755" s="341"/>
      <c r="G755" s="341"/>
      <c r="H755" s="341"/>
      <c r="I755" s="341"/>
      <c r="J755" s="341"/>
      <c r="K755" s="341"/>
      <c r="L755" s="341"/>
      <c r="M755" s="341"/>
      <c r="N755" s="341"/>
      <c r="O755" s="341"/>
      <c r="P755" s="341"/>
      <c r="Q755" s="341"/>
      <c r="R755" s="341"/>
      <c r="S755" s="341"/>
      <c r="T755" s="341"/>
      <c r="U755" s="341"/>
      <c r="V755" s="341"/>
      <c r="W755" s="341"/>
      <c r="X755" s="341"/>
      <c r="Y755" s="341"/>
      <c r="Z755" s="341"/>
      <c r="AA755" s="341"/>
      <c r="AB755" s="341"/>
      <c r="AC755" s="341"/>
      <c r="AD755" s="341"/>
      <c r="AE755" s="341"/>
    </row>
    <row r="756" ht="12.0" customHeight="1">
      <c r="A756" s="341"/>
      <c r="B756" s="341"/>
      <c r="C756" s="341"/>
      <c r="D756" s="341"/>
      <c r="E756" s="341"/>
      <c r="F756" s="341"/>
      <c r="G756" s="341"/>
      <c r="H756" s="341"/>
      <c r="I756" s="341"/>
      <c r="J756" s="341"/>
      <c r="K756" s="341"/>
      <c r="L756" s="341"/>
      <c r="M756" s="341"/>
      <c r="N756" s="341"/>
      <c r="O756" s="341"/>
      <c r="P756" s="341"/>
      <c r="Q756" s="341"/>
      <c r="R756" s="341"/>
      <c r="S756" s="341"/>
      <c r="T756" s="341"/>
      <c r="U756" s="341"/>
      <c r="V756" s="341"/>
      <c r="W756" s="341"/>
      <c r="X756" s="341"/>
      <c r="Y756" s="341"/>
      <c r="Z756" s="341"/>
      <c r="AA756" s="341"/>
      <c r="AB756" s="341"/>
      <c r="AC756" s="341"/>
      <c r="AD756" s="341"/>
      <c r="AE756" s="341"/>
    </row>
    <row r="757" ht="12.0" customHeight="1">
      <c r="A757" s="341"/>
      <c r="B757" s="341"/>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c r="AA757" s="341"/>
      <c r="AB757" s="341"/>
      <c r="AC757" s="341"/>
      <c r="AD757" s="341"/>
      <c r="AE757" s="341"/>
    </row>
    <row r="758" ht="12.0" customHeight="1">
      <c r="A758" s="341"/>
      <c r="B758" s="341"/>
      <c r="C758" s="341"/>
      <c r="D758" s="341"/>
      <c r="E758" s="341"/>
      <c r="F758" s="341"/>
      <c r="G758" s="341"/>
      <c r="H758" s="341"/>
      <c r="I758" s="341"/>
      <c r="J758" s="341"/>
      <c r="K758" s="341"/>
      <c r="L758" s="341"/>
      <c r="M758" s="341"/>
      <c r="N758" s="341"/>
      <c r="O758" s="341"/>
      <c r="P758" s="341"/>
      <c r="Q758" s="341"/>
      <c r="R758" s="341"/>
      <c r="S758" s="341"/>
      <c r="T758" s="341"/>
      <c r="U758" s="341"/>
      <c r="V758" s="341"/>
      <c r="W758" s="341"/>
      <c r="X758" s="341"/>
      <c r="Y758" s="341"/>
      <c r="Z758" s="341"/>
      <c r="AA758" s="341"/>
      <c r="AB758" s="341"/>
      <c r="AC758" s="341"/>
      <c r="AD758" s="341"/>
      <c r="AE758" s="341"/>
    </row>
    <row r="759" ht="12.0" customHeight="1">
      <c r="A759" s="341"/>
      <c r="B759" s="341"/>
      <c r="C759" s="341"/>
      <c r="D759" s="341"/>
      <c r="E759" s="341"/>
      <c r="F759" s="341"/>
      <c r="G759" s="341"/>
      <c r="H759" s="341"/>
      <c r="I759" s="341"/>
      <c r="J759" s="341"/>
      <c r="K759" s="341"/>
      <c r="L759" s="341"/>
      <c r="M759" s="341"/>
      <c r="N759" s="341"/>
      <c r="O759" s="341"/>
      <c r="P759" s="341"/>
      <c r="Q759" s="341"/>
      <c r="R759" s="341"/>
      <c r="S759" s="341"/>
      <c r="T759" s="341"/>
      <c r="U759" s="341"/>
      <c r="V759" s="341"/>
      <c r="W759" s="341"/>
      <c r="X759" s="341"/>
      <c r="Y759" s="341"/>
      <c r="Z759" s="341"/>
      <c r="AA759" s="341"/>
      <c r="AB759" s="341"/>
      <c r="AC759" s="341"/>
      <c r="AD759" s="341"/>
      <c r="AE759" s="341"/>
    </row>
    <row r="760" ht="12.0" customHeight="1">
      <c r="A760" s="341"/>
      <c r="B760" s="341"/>
      <c r="C760" s="341"/>
      <c r="D760" s="341"/>
      <c r="E760" s="341"/>
      <c r="F760" s="341"/>
      <c r="G760" s="341"/>
      <c r="H760" s="341"/>
      <c r="I760" s="341"/>
      <c r="J760" s="341"/>
      <c r="K760" s="341"/>
      <c r="L760" s="341"/>
      <c r="M760" s="341"/>
      <c r="N760" s="341"/>
      <c r="O760" s="341"/>
      <c r="P760" s="341"/>
      <c r="Q760" s="341"/>
      <c r="R760" s="341"/>
      <c r="S760" s="341"/>
      <c r="T760" s="341"/>
      <c r="U760" s="341"/>
      <c r="V760" s="341"/>
      <c r="W760" s="341"/>
      <c r="X760" s="341"/>
      <c r="Y760" s="341"/>
      <c r="Z760" s="341"/>
      <c r="AA760" s="341"/>
      <c r="AB760" s="341"/>
      <c r="AC760" s="341"/>
      <c r="AD760" s="341"/>
      <c r="AE760" s="341"/>
    </row>
    <row r="761" ht="12.0" customHeight="1">
      <c r="A761" s="341"/>
      <c r="B761" s="341"/>
      <c r="C761" s="341"/>
      <c r="D761" s="341"/>
      <c r="E761" s="341"/>
      <c r="F761" s="341"/>
      <c r="G761" s="341"/>
      <c r="H761" s="341"/>
      <c r="I761" s="341"/>
      <c r="J761" s="341"/>
      <c r="K761" s="341"/>
      <c r="L761" s="341"/>
      <c r="M761" s="341"/>
      <c r="N761" s="341"/>
      <c r="O761" s="341"/>
      <c r="P761" s="341"/>
      <c r="Q761" s="341"/>
      <c r="R761" s="341"/>
      <c r="S761" s="341"/>
      <c r="T761" s="341"/>
      <c r="U761" s="341"/>
      <c r="V761" s="341"/>
      <c r="W761" s="341"/>
      <c r="X761" s="341"/>
      <c r="Y761" s="341"/>
      <c r="Z761" s="341"/>
      <c r="AA761" s="341"/>
      <c r="AB761" s="341"/>
      <c r="AC761" s="341"/>
      <c r="AD761" s="341"/>
      <c r="AE761" s="341"/>
    </row>
    <row r="762" ht="12.0" customHeight="1">
      <c r="A762" s="341"/>
      <c r="B762" s="341"/>
      <c r="C762" s="341"/>
      <c r="D762" s="341"/>
      <c r="E762" s="341"/>
      <c r="F762" s="341"/>
      <c r="G762" s="341"/>
      <c r="H762" s="341"/>
      <c r="I762" s="341"/>
      <c r="J762" s="341"/>
      <c r="K762" s="341"/>
      <c r="L762" s="341"/>
      <c r="M762" s="341"/>
      <c r="N762" s="341"/>
      <c r="O762" s="341"/>
      <c r="P762" s="341"/>
      <c r="Q762" s="341"/>
      <c r="R762" s="341"/>
      <c r="S762" s="341"/>
      <c r="T762" s="341"/>
      <c r="U762" s="341"/>
      <c r="V762" s="341"/>
      <c r="W762" s="341"/>
      <c r="X762" s="341"/>
      <c r="Y762" s="341"/>
      <c r="Z762" s="341"/>
      <c r="AA762" s="341"/>
      <c r="AB762" s="341"/>
      <c r="AC762" s="341"/>
      <c r="AD762" s="341"/>
      <c r="AE762" s="341"/>
    </row>
    <row r="763" ht="12.0" customHeight="1">
      <c r="A763" s="341"/>
      <c r="B763" s="341"/>
      <c r="C763" s="341"/>
      <c r="D763" s="341"/>
      <c r="E763" s="341"/>
      <c r="F763" s="341"/>
      <c r="G763" s="341"/>
      <c r="H763" s="341"/>
      <c r="I763" s="341"/>
      <c r="J763" s="341"/>
      <c r="K763" s="341"/>
      <c r="L763" s="341"/>
      <c r="M763" s="341"/>
      <c r="N763" s="341"/>
      <c r="O763" s="341"/>
      <c r="P763" s="341"/>
      <c r="Q763" s="341"/>
      <c r="R763" s="341"/>
      <c r="S763" s="341"/>
      <c r="T763" s="341"/>
      <c r="U763" s="341"/>
      <c r="V763" s="341"/>
      <c r="W763" s="341"/>
      <c r="X763" s="341"/>
      <c r="Y763" s="341"/>
      <c r="Z763" s="341"/>
      <c r="AA763" s="341"/>
      <c r="AB763" s="341"/>
      <c r="AC763" s="341"/>
      <c r="AD763" s="341"/>
      <c r="AE763" s="341"/>
    </row>
    <row r="764" ht="12.0" customHeight="1">
      <c r="A764" s="341"/>
      <c r="B764" s="341"/>
      <c r="C764" s="341"/>
      <c r="D764" s="341"/>
      <c r="E764" s="341"/>
      <c r="F764" s="341"/>
      <c r="G764" s="341"/>
      <c r="H764" s="341"/>
      <c r="I764" s="341"/>
      <c r="J764" s="341"/>
      <c r="K764" s="341"/>
      <c r="L764" s="341"/>
      <c r="M764" s="341"/>
      <c r="N764" s="341"/>
      <c r="O764" s="341"/>
      <c r="P764" s="341"/>
      <c r="Q764" s="341"/>
      <c r="R764" s="341"/>
      <c r="S764" s="341"/>
      <c r="T764" s="341"/>
      <c r="U764" s="341"/>
      <c r="V764" s="341"/>
      <c r="W764" s="341"/>
      <c r="X764" s="341"/>
      <c r="Y764" s="341"/>
      <c r="Z764" s="341"/>
      <c r="AA764" s="341"/>
      <c r="AB764" s="341"/>
      <c r="AC764" s="341"/>
      <c r="AD764" s="341"/>
      <c r="AE764" s="341"/>
    </row>
    <row r="765" ht="12.0" customHeight="1">
      <c r="A765" s="341"/>
      <c r="B765" s="341"/>
      <c r="C765" s="341"/>
      <c r="D765" s="341"/>
      <c r="E765" s="341"/>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41"/>
      <c r="AE765" s="341"/>
    </row>
    <row r="766" ht="12.0" customHeight="1">
      <c r="A766" s="341"/>
      <c r="B766" s="341"/>
      <c r="C766" s="341"/>
      <c r="D766" s="341"/>
      <c r="E766" s="341"/>
      <c r="F766" s="341"/>
      <c r="G766" s="341"/>
      <c r="H766" s="341"/>
      <c r="I766" s="341"/>
      <c r="J766" s="341"/>
      <c r="K766" s="341"/>
      <c r="L766" s="341"/>
      <c r="M766" s="341"/>
      <c r="N766" s="341"/>
      <c r="O766" s="341"/>
      <c r="P766" s="341"/>
      <c r="Q766" s="341"/>
      <c r="R766" s="341"/>
      <c r="S766" s="341"/>
      <c r="T766" s="341"/>
      <c r="U766" s="341"/>
      <c r="V766" s="341"/>
      <c r="W766" s="341"/>
      <c r="X766" s="341"/>
      <c r="Y766" s="341"/>
      <c r="Z766" s="341"/>
      <c r="AA766" s="341"/>
      <c r="AB766" s="341"/>
      <c r="AC766" s="341"/>
      <c r="AD766" s="341"/>
      <c r="AE766" s="341"/>
    </row>
    <row r="767" ht="12.0" customHeight="1">
      <c r="A767" s="341"/>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341"/>
      <c r="AA767" s="341"/>
      <c r="AB767" s="341"/>
      <c r="AC767" s="341"/>
      <c r="AD767" s="341"/>
      <c r="AE767" s="341"/>
    </row>
    <row r="768" ht="12.0" customHeight="1">
      <c r="A768" s="341"/>
      <c r="B768" s="341"/>
      <c r="C768" s="341"/>
      <c r="D768" s="341"/>
      <c r="E768" s="341"/>
      <c r="F768" s="341"/>
      <c r="G768" s="341"/>
      <c r="H768" s="341"/>
      <c r="I768" s="341"/>
      <c r="J768" s="341"/>
      <c r="K768" s="341"/>
      <c r="L768" s="341"/>
      <c r="M768" s="341"/>
      <c r="N768" s="341"/>
      <c r="O768" s="341"/>
      <c r="P768" s="341"/>
      <c r="Q768" s="341"/>
      <c r="R768" s="341"/>
      <c r="S768" s="341"/>
      <c r="T768" s="341"/>
      <c r="U768" s="341"/>
      <c r="V768" s="341"/>
      <c r="W768" s="341"/>
      <c r="X768" s="341"/>
      <c r="Y768" s="341"/>
      <c r="Z768" s="341"/>
      <c r="AA768" s="341"/>
      <c r="AB768" s="341"/>
      <c r="AC768" s="341"/>
      <c r="AD768" s="341"/>
      <c r="AE768" s="341"/>
    </row>
    <row r="769" ht="12.0" customHeight="1">
      <c r="A769" s="341"/>
      <c r="B769" s="341"/>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row>
    <row r="770" ht="12.0" customHeight="1">
      <c r="A770" s="341"/>
      <c r="B770" s="341"/>
      <c r="C770" s="341"/>
      <c r="D770" s="341"/>
      <c r="E770" s="341"/>
      <c r="F770" s="341"/>
      <c r="G770" s="341"/>
      <c r="H770" s="341"/>
      <c r="I770" s="341"/>
      <c r="J770" s="341"/>
      <c r="K770" s="341"/>
      <c r="L770" s="341"/>
      <c r="M770" s="341"/>
      <c r="N770" s="341"/>
      <c r="O770" s="341"/>
      <c r="P770" s="341"/>
      <c r="Q770" s="341"/>
      <c r="R770" s="341"/>
      <c r="S770" s="341"/>
      <c r="T770" s="341"/>
      <c r="U770" s="341"/>
      <c r="V770" s="341"/>
      <c r="W770" s="341"/>
      <c r="X770" s="341"/>
      <c r="Y770" s="341"/>
      <c r="Z770" s="341"/>
      <c r="AA770" s="341"/>
      <c r="AB770" s="341"/>
      <c r="AC770" s="341"/>
      <c r="AD770" s="341"/>
      <c r="AE770" s="341"/>
    </row>
    <row r="771" ht="12.0" customHeight="1">
      <c r="A771" s="341"/>
      <c r="B771" s="341"/>
      <c r="C771" s="341"/>
      <c r="D771" s="341"/>
      <c r="E771" s="341"/>
      <c r="F771" s="341"/>
      <c r="G771" s="341"/>
      <c r="H771" s="341"/>
      <c r="I771" s="341"/>
      <c r="J771" s="341"/>
      <c r="K771" s="341"/>
      <c r="L771" s="341"/>
      <c r="M771" s="341"/>
      <c r="N771" s="341"/>
      <c r="O771" s="341"/>
      <c r="P771" s="341"/>
      <c r="Q771" s="341"/>
      <c r="R771" s="341"/>
      <c r="S771" s="341"/>
      <c r="T771" s="341"/>
      <c r="U771" s="341"/>
      <c r="V771" s="341"/>
      <c r="W771" s="341"/>
      <c r="X771" s="341"/>
      <c r="Y771" s="341"/>
      <c r="Z771" s="341"/>
      <c r="AA771" s="341"/>
      <c r="AB771" s="341"/>
      <c r="AC771" s="341"/>
      <c r="AD771" s="341"/>
      <c r="AE771" s="341"/>
    </row>
    <row r="772" ht="12.0" customHeight="1">
      <c r="A772" s="341"/>
      <c r="B772" s="341"/>
      <c r="C772" s="341"/>
      <c r="D772" s="341"/>
      <c r="E772" s="341"/>
      <c r="F772" s="341"/>
      <c r="G772" s="341"/>
      <c r="H772" s="341"/>
      <c r="I772" s="341"/>
      <c r="J772" s="341"/>
      <c r="K772" s="341"/>
      <c r="L772" s="341"/>
      <c r="M772" s="341"/>
      <c r="N772" s="341"/>
      <c r="O772" s="341"/>
      <c r="P772" s="341"/>
      <c r="Q772" s="341"/>
      <c r="R772" s="341"/>
      <c r="S772" s="341"/>
      <c r="T772" s="341"/>
      <c r="U772" s="341"/>
      <c r="V772" s="341"/>
      <c r="W772" s="341"/>
      <c r="X772" s="341"/>
      <c r="Y772" s="341"/>
      <c r="Z772" s="341"/>
      <c r="AA772" s="341"/>
      <c r="AB772" s="341"/>
      <c r="AC772" s="341"/>
      <c r="AD772" s="341"/>
      <c r="AE772" s="341"/>
    </row>
    <row r="773" ht="12.0" customHeight="1">
      <c r="A773" s="341"/>
      <c r="B773" s="341"/>
      <c r="C773" s="341"/>
      <c r="D773" s="341"/>
      <c r="E773" s="341"/>
      <c r="F773" s="341"/>
      <c r="G773" s="341"/>
      <c r="H773" s="341"/>
      <c r="I773" s="341"/>
      <c r="J773" s="341"/>
      <c r="K773" s="341"/>
      <c r="L773" s="341"/>
      <c r="M773" s="341"/>
      <c r="N773" s="341"/>
      <c r="O773" s="341"/>
      <c r="P773" s="341"/>
      <c r="Q773" s="341"/>
      <c r="R773" s="341"/>
      <c r="S773" s="341"/>
      <c r="T773" s="341"/>
      <c r="U773" s="341"/>
      <c r="V773" s="341"/>
      <c r="W773" s="341"/>
      <c r="X773" s="341"/>
      <c r="Y773" s="341"/>
      <c r="Z773" s="341"/>
      <c r="AA773" s="341"/>
      <c r="AB773" s="341"/>
      <c r="AC773" s="341"/>
      <c r="AD773" s="341"/>
      <c r="AE773" s="341"/>
    </row>
    <row r="774" ht="12.0" customHeight="1">
      <c r="A774" s="341"/>
      <c r="B774" s="341"/>
      <c r="C774" s="341"/>
      <c r="D774" s="341"/>
      <c r="E774" s="341"/>
      <c r="F774" s="341"/>
      <c r="G774" s="341"/>
      <c r="H774" s="341"/>
      <c r="I774" s="341"/>
      <c r="J774" s="341"/>
      <c r="K774" s="341"/>
      <c r="L774" s="341"/>
      <c r="M774" s="341"/>
      <c r="N774" s="341"/>
      <c r="O774" s="341"/>
      <c r="P774" s="341"/>
      <c r="Q774" s="341"/>
      <c r="R774" s="341"/>
      <c r="S774" s="341"/>
      <c r="T774" s="341"/>
      <c r="U774" s="341"/>
      <c r="V774" s="341"/>
      <c r="W774" s="341"/>
      <c r="X774" s="341"/>
      <c r="Y774" s="341"/>
      <c r="Z774" s="341"/>
      <c r="AA774" s="341"/>
      <c r="AB774" s="341"/>
      <c r="AC774" s="341"/>
      <c r="AD774" s="341"/>
      <c r="AE774" s="341"/>
    </row>
    <row r="775" ht="12.0" customHeight="1">
      <c r="A775" s="341"/>
      <c r="B775" s="341"/>
      <c r="C775" s="341"/>
      <c r="D775" s="341"/>
      <c r="E775" s="341"/>
      <c r="F775" s="341"/>
      <c r="G775" s="341"/>
      <c r="H775" s="341"/>
      <c r="I775" s="341"/>
      <c r="J775" s="341"/>
      <c r="K775" s="341"/>
      <c r="L775" s="341"/>
      <c r="M775" s="341"/>
      <c r="N775" s="341"/>
      <c r="O775" s="341"/>
      <c r="P775" s="341"/>
      <c r="Q775" s="341"/>
      <c r="R775" s="341"/>
      <c r="S775" s="341"/>
      <c r="T775" s="341"/>
      <c r="U775" s="341"/>
      <c r="V775" s="341"/>
      <c r="W775" s="341"/>
      <c r="X775" s="341"/>
      <c r="Y775" s="341"/>
      <c r="Z775" s="341"/>
      <c r="AA775" s="341"/>
      <c r="AB775" s="341"/>
      <c r="AC775" s="341"/>
      <c r="AD775" s="341"/>
      <c r="AE775" s="341"/>
    </row>
    <row r="776" ht="12.0" customHeight="1">
      <c r="A776" s="341"/>
      <c r="B776" s="341"/>
      <c r="C776" s="341"/>
      <c r="D776" s="341"/>
      <c r="E776" s="341"/>
      <c r="F776" s="341"/>
      <c r="G776" s="341"/>
      <c r="H776" s="341"/>
      <c r="I776" s="341"/>
      <c r="J776" s="341"/>
      <c r="K776" s="341"/>
      <c r="L776" s="341"/>
      <c r="M776" s="341"/>
      <c r="N776" s="341"/>
      <c r="O776" s="341"/>
      <c r="P776" s="341"/>
      <c r="Q776" s="341"/>
      <c r="R776" s="341"/>
      <c r="S776" s="341"/>
      <c r="T776" s="341"/>
      <c r="U776" s="341"/>
      <c r="V776" s="341"/>
      <c r="W776" s="341"/>
      <c r="X776" s="341"/>
      <c r="Y776" s="341"/>
      <c r="Z776" s="341"/>
      <c r="AA776" s="341"/>
      <c r="AB776" s="341"/>
      <c r="AC776" s="341"/>
      <c r="AD776" s="341"/>
      <c r="AE776" s="341"/>
    </row>
    <row r="777" ht="12.0" customHeight="1">
      <c r="A777" s="341"/>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c r="AA777" s="341"/>
      <c r="AB777" s="341"/>
      <c r="AC777" s="341"/>
      <c r="AD777" s="341"/>
      <c r="AE777" s="341"/>
    </row>
    <row r="778" ht="12.0" customHeight="1">
      <c r="A778" s="341"/>
      <c r="B778" s="341"/>
      <c r="C778" s="341"/>
      <c r="D778" s="341"/>
      <c r="E778" s="341"/>
      <c r="F778" s="341"/>
      <c r="G778" s="341"/>
      <c r="H778" s="341"/>
      <c r="I778" s="341"/>
      <c r="J778" s="341"/>
      <c r="K778" s="341"/>
      <c r="L778" s="341"/>
      <c r="M778" s="341"/>
      <c r="N778" s="341"/>
      <c r="O778" s="341"/>
      <c r="P778" s="341"/>
      <c r="Q778" s="341"/>
      <c r="R778" s="341"/>
      <c r="S778" s="341"/>
      <c r="T778" s="341"/>
      <c r="U778" s="341"/>
      <c r="V778" s="341"/>
      <c r="W778" s="341"/>
      <c r="X778" s="341"/>
      <c r="Y778" s="341"/>
      <c r="Z778" s="341"/>
      <c r="AA778" s="341"/>
      <c r="AB778" s="341"/>
      <c r="AC778" s="341"/>
      <c r="AD778" s="341"/>
      <c r="AE778" s="341"/>
    </row>
    <row r="779" ht="12.0" customHeight="1">
      <c r="A779" s="341"/>
      <c r="B779" s="341"/>
      <c r="C779" s="341"/>
      <c r="D779" s="341"/>
      <c r="E779" s="341"/>
      <c r="F779" s="341"/>
      <c r="G779" s="341"/>
      <c r="H779" s="341"/>
      <c r="I779" s="341"/>
      <c r="J779" s="341"/>
      <c r="K779" s="341"/>
      <c r="L779" s="341"/>
      <c r="M779" s="341"/>
      <c r="N779" s="341"/>
      <c r="O779" s="341"/>
      <c r="P779" s="341"/>
      <c r="Q779" s="341"/>
      <c r="R779" s="341"/>
      <c r="S779" s="341"/>
      <c r="T779" s="341"/>
      <c r="U779" s="341"/>
      <c r="V779" s="341"/>
      <c r="W779" s="341"/>
      <c r="X779" s="341"/>
      <c r="Y779" s="341"/>
      <c r="Z779" s="341"/>
      <c r="AA779" s="341"/>
      <c r="AB779" s="341"/>
      <c r="AC779" s="341"/>
      <c r="AD779" s="341"/>
      <c r="AE779" s="341"/>
    </row>
    <row r="780" ht="12.0" customHeight="1">
      <c r="A780" s="341"/>
      <c r="B780" s="341"/>
      <c r="C780" s="341"/>
      <c r="D780" s="341"/>
      <c r="E780" s="341"/>
      <c r="F780" s="341"/>
      <c r="G780" s="341"/>
      <c r="H780" s="341"/>
      <c r="I780" s="341"/>
      <c r="J780" s="341"/>
      <c r="K780" s="341"/>
      <c r="L780" s="341"/>
      <c r="M780" s="341"/>
      <c r="N780" s="341"/>
      <c r="O780" s="341"/>
      <c r="P780" s="341"/>
      <c r="Q780" s="341"/>
      <c r="R780" s="341"/>
      <c r="S780" s="341"/>
      <c r="T780" s="341"/>
      <c r="U780" s="341"/>
      <c r="V780" s="341"/>
      <c r="W780" s="341"/>
      <c r="X780" s="341"/>
      <c r="Y780" s="341"/>
      <c r="Z780" s="341"/>
      <c r="AA780" s="341"/>
      <c r="AB780" s="341"/>
      <c r="AC780" s="341"/>
      <c r="AD780" s="341"/>
      <c r="AE780" s="341"/>
    </row>
    <row r="781" ht="12.0" customHeight="1">
      <c r="A781" s="341"/>
      <c r="B781" s="341"/>
      <c r="C781" s="341"/>
      <c r="D781" s="341"/>
      <c r="E781" s="341"/>
      <c r="F781" s="341"/>
      <c r="G781" s="341"/>
      <c r="H781" s="341"/>
      <c r="I781" s="341"/>
      <c r="J781" s="341"/>
      <c r="K781" s="341"/>
      <c r="L781" s="341"/>
      <c r="M781" s="341"/>
      <c r="N781" s="341"/>
      <c r="O781" s="341"/>
      <c r="P781" s="341"/>
      <c r="Q781" s="341"/>
      <c r="R781" s="341"/>
      <c r="S781" s="341"/>
      <c r="T781" s="341"/>
      <c r="U781" s="341"/>
      <c r="V781" s="341"/>
      <c r="W781" s="341"/>
      <c r="X781" s="341"/>
      <c r="Y781" s="341"/>
      <c r="Z781" s="341"/>
      <c r="AA781" s="341"/>
      <c r="AB781" s="341"/>
      <c r="AC781" s="341"/>
      <c r="AD781" s="341"/>
      <c r="AE781" s="341"/>
    </row>
    <row r="782" ht="12.0" customHeight="1">
      <c r="A782" s="341"/>
      <c r="B782" s="341"/>
      <c r="C782" s="341"/>
      <c r="D782" s="341"/>
      <c r="E782" s="341"/>
      <c r="F782" s="341"/>
      <c r="G782" s="341"/>
      <c r="H782" s="341"/>
      <c r="I782" s="341"/>
      <c r="J782" s="341"/>
      <c r="K782" s="341"/>
      <c r="L782" s="341"/>
      <c r="M782" s="341"/>
      <c r="N782" s="341"/>
      <c r="O782" s="341"/>
      <c r="P782" s="341"/>
      <c r="Q782" s="341"/>
      <c r="R782" s="341"/>
      <c r="S782" s="341"/>
      <c r="T782" s="341"/>
      <c r="U782" s="341"/>
      <c r="V782" s="341"/>
      <c r="W782" s="341"/>
      <c r="X782" s="341"/>
      <c r="Y782" s="341"/>
      <c r="Z782" s="341"/>
      <c r="AA782" s="341"/>
      <c r="AB782" s="341"/>
      <c r="AC782" s="341"/>
      <c r="AD782" s="341"/>
      <c r="AE782" s="341"/>
    </row>
    <row r="783" ht="12.0" customHeight="1">
      <c r="A783" s="341"/>
      <c r="B783" s="341"/>
      <c r="C783" s="341"/>
      <c r="D783" s="341"/>
      <c r="E783" s="341"/>
      <c r="F783" s="341"/>
      <c r="G783" s="341"/>
      <c r="H783" s="341"/>
      <c r="I783" s="341"/>
      <c r="J783" s="341"/>
      <c r="K783" s="341"/>
      <c r="L783" s="341"/>
      <c r="M783" s="341"/>
      <c r="N783" s="341"/>
      <c r="O783" s="341"/>
      <c r="P783" s="341"/>
      <c r="Q783" s="341"/>
      <c r="R783" s="341"/>
      <c r="S783" s="341"/>
      <c r="T783" s="341"/>
      <c r="U783" s="341"/>
      <c r="V783" s="341"/>
      <c r="W783" s="341"/>
      <c r="X783" s="341"/>
      <c r="Y783" s="341"/>
      <c r="Z783" s="341"/>
      <c r="AA783" s="341"/>
      <c r="AB783" s="341"/>
      <c r="AC783" s="341"/>
      <c r="AD783" s="341"/>
      <c r="AE783" s="341"/>
    </row>
    <row r="784" ht="12.0" customHeight="1">
      <c r="A784" s="341"/>
      <c r="B784" s="341"/>
      <c r="C784" s="341"/>
      <c r="D784" s="341"/>
      <c r="E784" s="341"/>
      <c r="F784" s="341"/>
      <c r="G784" s="341"/>
      <c r="H784" s="341"/>
      <c r="I784" s="341"/>
      <c r="J784" s="341"/>
      <c r="K784" s="341"/>
      <c r="L784" s="341"/>
      <c r="M784" s="341"/>
      <c r="N784" s="341"/>
      <c r="O784" s="341"/>
      <c r="P784" s="341"/>
      <c r="Q784" s="341"/>
      <c r="R784" s="341"/>
      <c r="S784" s="341"/>
      <c r="T784" s="341"/>
      <c r="U784" s="341"/>
      <c r="V784" s="341"/>
      <c r="W784" s="341"/>
      <c r="X784" s="341"/>
      <c r="Y784" s="341"/>
      <c r="Z784" s="341"/>
      <c r="AA784" s="341"/>
      <c r="AB784" s="341"/>
      <c r="AC784" s="341"/>
      <c r="AD784" s="341"/>
      <c r="AE784" s="341"/>
    </row>
    <row r="785" ht="12.0" customHeight="1">
      <c r="A785" s="341"/>
      <c r="B785" s="341"/>
      <c r="C785" s="341"/>
      <c r="D785" s="341"/>
      <c r="E785" s="341"/>
      <c r="F785" s="341"/>
      <c r="G785" s="341"/>
      <c r="H785" s="341"/>
      <c r="I785" s="341"/>
      <c r="J785" s="341"/>
      <c r="K785" s="341"/>
      <c r="L785" s="341"/>
      <c r="M785" s="341"/>
      <c r="N785" s="341"/>
      <c r="O785" s="341"/>
      <c r="P785" s="341"/>
      <c r="Q785" s="341"/>
      <c r="R785" s="341"/>
      <c r="S785" s="341"/>
      <c r="T785" s="341"/>
      <c r="U785" s="341"/>
      <c r="V785" s="341"/>
      <c r="W785" s="341"/>
      <c r="X785" s="341"/>
      <c r="Y785" s="341"/>
      <c r="Z785" s="341"/>
      <c r="AA785" s="341"/>
      <c r="AB785" s="341"/>
      <c r="AC785" s="341"/>
      <c r="AD785" s="341"/>
      <c r="AE785" s="341"/>
    </row>
    <row r="786" ht="12.0" customHeight="1">
      <c r="A786" s="341"/>
      <c r="B786" s="341"/>
      <c r="C786" s="341"/>
      <c r="D786" s="341"/>
      <c r="E786" s="341"/>
      <c r="F786" s="341"/>
      <c r="G786" s="341"/>
      <c r="H786" s="341"/>
      <c r="I786" s="341"/>
      <c r="J786" s="341"/>
      <c r="K786" s="341"/>
      <c r="L786" s="341"/>
      <c r="M786" s="341"/>
      <c r="N786" s="341"/>
      <c r="O786" s="341"/>
      <c r="P786" s="341"/>
      <c r="Q786" s="341"/>
      <c r="R786" s="341"/>
      <c r="S786" s="341"/>
      <c r="T786" s="341"/>
      <c r="U786" s="341"/>
      <c r="V786" s="341"/>
      <c r="W786" s="341"/>
      <c r="X786" s="341"/>
      <c r="Y786" s="341"/>
      <c r="Z786" s="341"/>
      <c r="AA786" s="341"/>
      <c r="AB786" s="341"/>
      <c r="AC786" s="341"/>
      <c r="AD786" s="341"/>
      <c r="AE786" s="341"/>
    </row>
    <row r="787" ht="12.0" customHeight="1">
      <c r="A787" s="341"/>
      <c r="B787" s="341"/>
      <c r="C787" s="341"/>
      <c r="D787" s="341"/>
      <c r="E787" s="341"/>
      <c r="F787" s="341"/>
      <c r="G787" s="341"/>
      <c r="H787" s="341"/>
      <c r="I787" s="341"/>
      <c r="J787" s="341"/>
      <c r="K787" s="341"/>
      <c r="L787" s="341"/>
      <c r="M787" s="341"/>
      <c r="N787" s="341"/>
      <c r="O787" s="341"/>
      <c r="P787" s="341"/>
      <c r="Q787" s="341"/>
      <c r="R787" s="341"/>
      <c r="S787" s="341"/>
      <c r="T787" s="341"/>
      <c r="U787" s="341"/>
      <c r="V787" s="341"/>
      <c r="W787" s="341"/>
      <c r="X787" s="341"/>
      <c r="Y787" s="341"/>
      <c r="Z787" s="341"/>
      <c r="AA787" s="341"/>
      <c r="AB787" s="341"/>
      <c r="AC787" s="341"/>
      <c r="AD787" s="341"/>
      <c r="AE787" s="341"/>
    </row>
    <row r="788" ht="12.0" customHeight="1">
      <c r="A788" s="341"/>
      <c r="B788" s="341"/>
      <c r="C788" s="341"/>
      <c r="D788" s="341"/>
      <c r="E788" s="341"/>
      <c r="F788" s="341"/>
      <c r="G788" s="341"/>
      <c r="H788" s="341"/>
      <c r="I788" s="341"/>
      <c r="J788" s="341"/>
      <c r="K788" s="341"/>
      <c r="L788" s="341"/>
      <c r="M788" s="341"/>
      <c r="N788" s="341"/>
      <c r="O788" s="341"/>
      <c r="P788" s="341"/>
      <c r="Q788" s="341"/>
      <c r="R788" s="341"/>
      <c r="S788" s="341"/>
      <c r="T788" s="341"/>
      <c r="U788" s="341"/>
      <c r="V788" s="341"/>
      <c r="W788" s="341"/>
      <c r="X788" s="341"/>
      <c r="Y788" s="341"/>
      <c r="Z788" s="341"/>
      <c r="AA788" s="341"/>
      <c r="AB788" s="341"/>
      <c r="AC788" s="341"/>
      <c r="AD788" s="341"/>
      <c r="AE788" s="341"/>
    </row>
    <row r="789" ht="12.0" customHeight="1">
      <c r="A789" s="341"/>
      <c r="B789" s="341"/>
      <c r="C789" s="341"/>
      <c r="D789" s="341"/>
      <c r="E789" s="341"/>
      <c r="F789" s="341"/>
      <c r="G789" s="341"/>
      <c r="H789" s="341"/>
      <c r="I789" s="341"/>
      <c r="J789" s="341"/>
      <c r="K789" s="341"/>
      <c r="L789" s="341"/>
      <c r="M789" s="341"/>
      <c r="N789" s="341"/>
      <c r="O789" s="341"/>
      <c r="P789" s="341"/>
      <c r="Q789" s="341"/>
      <c r="R789" s="341"/>
      <c r="S789" s="341"/>
      <c r="T789" s="341"/>
      <c r="U789" s="341"/>
      <c r="V789" s="341"/>
      <c r="W789" s="341"/>
      <c r="X789" s="341"/>
      <c r="Y789" s="341"/>
      <c r="Z789" s="341"/>
      <c r="AA789" s="341"/>
      <c r="AB789" s="341"/>
      <c r="AC789" s="341"/>
      <c r="AD789" s="341"/>
      <c r="AE789" s="341"/>
    </row>
    <row r="790" ht="12.0" customHeight="1">
      <c r="A790" s="341"/>
      <c r="B790" s="341"/>
      <c r="C790" s="341"/>
      <c r="D790" s="341"/>
      <c r="E790" s="341"/>
      <c r="F790" s="341"/>
      <c r="G790" s="341"/>
      <c r="H790" s="341"/>
      <c r="I790" s="341"/>
      <c r="J790" s="341"/>
      <c r="K790" s="341"/>
      <c r="L790" s="341"/>
      <c r="M790" s="341"/>
      <c r="N790" s="341"/>
      <c r="O790" s="341"/>
      <c r="P790" s="341"/>
      <c r="Q790" s="341"/>
      <c r="R790" s="341"/>
      <c r="S790" s="341"/>
      <c r="T790" s="341"/>
      <c r="U790" s="341"/>
      <c r="V790" s="341"/>
      <c r="W790" s="341"/>
      <c r="X790" s="341"/>
      <c r="Y790" s="341"/>
      <c r="Z790" s="341"/>
      <c r="AA790" s="341"/>
      <c r="AB790" s="341"/>
      <c r="AC790" s="341"/>
      <c r="AD790" s="341"/>
      <c r="AE790" s="341"/>
    </row>
    <row r="791" ht="12.0" customHeight="1">
      <c r="A791" s="341"/>
      <c r="B791" s="341"/>
      <c r="C791" s="341"/>
      <c r="D791" s="341"/>
      <c r="E791" s="341"/>
      <c r="F791" s="341"/>
      <c r="G791" s="341"/>
      <c r="H791" s="341"/>
      <c r="I791" s="341"/>
      <c r="J791" s="341"/>
      <c r="K791" s="341"/>
      <c r="L791" s="341"/>
      <c r="M791" s="341"/>
      <c r="N791" s="341"/>
      <c r="O791" s="341"/>
      <c r="P791" s="341"/>
      <c r="Q791" s="341"/>
      <c r="R791" s="341"/>
      <c r="S791" s="341"/>
      <c r="T791" s="341"/>
      <c r="U791" s="341"/>
      <c r="V791" s="341"/>
      <c r="W791" s="341"/>
      <c r="X791" s="341"/>
      <c r="Y791" s="341"/>
      <c r="Z791" s="341"/>
      <c r="AA791" s="341"/>
      <c r="AB791" s="341"/>
      <c r="AC791" s="341"/>
      <c r="AD791" s="341"/>
      <c r="AE791" s="341"/>
    </row>
    <row r="792" ht="12.0" customHeight="1">
      <c r="A792" s="341"/>
      <c r="B792" s="341"/>
      <c r="C792" s="341"/>
      <c r="D792" s="341"/>
      <c r="E792" s="341"/>
      <c r="F792" s="341"/>
      <c r="G792" s="341"/>
      <c r="H792" s="341"/>
      <c r="I792" s="341"/>
      <c r="J792" s="341"/>
      <c r="K792" s="341"/>
      <c r="L792" s="341"/>
      <c r="M792" s="341"/>
      <c r="N792" s="341"/>
      <c r="O792" s="341"/>
      <c r="P792" s="341"/>
      <c r="Q792" s="341"/>
      <c r="R792" s="341"/>
      <c r="S792" s="341"/>
      <c r="T792" s="341"/>
      <c r="U792" s="341"/>
      <c r="V792" s="341"/>
      <c r="W792" s="341"/>
      <c r="X792" s="341"/>
      <c r="Y792" s="341"/>
      <c r="Z792" s="341"/>
      <c r="AA792" s="341"/>
      <c r="AB792" s="341"/>
      <c r="AC792" s="341"/>
      <c r="AD792" s="341"/>
      <c r="AE792" s="341"/>
    </row>
    <row r="793" ht="12.0" customHeight="1">
      <c r="A793" s="341"/>
      <c r="B793" s="341"/>
      <c r="C793" s="341"/>
      <c r="D793" s="341"/>
      <c r="E793" s="341"/>
      <c r="F793" s="341"/>
      <c r="G793" s="341"/>
      <c r="H793" s="341"/>
      <c r="I793" s="341"/>
      <c r="J793" s="341"/>
      <c r="K793" s="341"/>
      <c r="L793" s="341"/>
      <c r="M793" s="341"/>
      <c r="N793" s="341"/>
      <c r="O793" s="341"/>
      <c r="P793" s="341"/>
      <c r="Q793" s="341"/>
      <c r="R793" s="341"/>
      <c r="S793" s="341"/>
      <c r="T793" s="341"/>
      <c r="U793" s="341"/>
      <c r="V793" s="341"/>
      <c r="W793" s="341"/>
      <c r="X793" s="341"/>
      <c r="Y793" s="341"/>
      <c r="Z793" s="341"/>
      <c r="AA793" s="341"/>
      <c r="AB793" s="341"/>
      <c r="AC793" s="341"/>
      <c r="AD793" s="341"/>
      <c r="AE793" s="341"/>
    </row>
    <row r="794" ht="12.0" customHeight="1">
      <c r="A794" s="341"/>
      <c r="B794" s="341"/>
      <c r="C794" s="341"/>
      <c r="D794" s="341"/>
      <c r="E794" s="341"/>
      <c r="F794" s="341"/>
      <c r="G794" s="341"/>
      <c r="H794" s="341"/>
      <c r="I794" s="341"/>
      <c r="J794" s="341"/>
      <c r="K794" s="341"/>
      <c r="L794" s="341"/>
      <c r="M794" s="341"/>
      <c r="N794" s="341"/>
      <c r="O794" s="341"/>
      <c r="P794" s="341"/>
      <c r="Q794" s="341"/>
      <c r="R794" s="341"/>
      <c r="S794" s="341"/>
      <c r="T794" s="341"/>
      <c r="U794" s="341"/>
      <c r="V794" s="341"/>
      <c r="W794" s="341"/>
      <c r="X794" s="341"/>
      <c r="Y794" s="341"/>
      <c r="Z794" s="341"/>
      <c r="AA794" s="341"/>
      <c r="AB794" s="341"/>
      <c r="AC794" s="341"/>
      <c r="AD794" s="341"/>
      <c r="AE794" s="341"/>
    </row>
    <row r="795" ht="12.0" customHeight="1">
      <c r="A795" s="341"/>
      <c r="B795" s="341"/>
      <c r="C795" s="341"/>
      <c r="D795" s="341"/>
      <c r="E795" s="341"/>
      <c r="F795" s="341"/>
      <c r="G795" s="341"/>
      <c r="H795" s="341"/>
      <c r="I795" s="341"/>
      <c r="J795" s="341"/>
      <c r="K795" s="341"/>
      <c r="L795" s="341"/>
      <c r="M795" s="341"/>
      <c r="N795" s="341"/>
      <c r="O795" s="341"/>
      <c r="P795" s="341"/>
      <c r="Q795" s="341"/>
      <c r="R795" s="341"/>
      <c r="S795" s="341"/>
      <c r="T795" s="341"/>
      <c r="U795" s="341"/>
      <c r="V795" s="341"/>
      <c r="W795" s="341"/>
      <c r="X795" s="341"/>
      <c r="Y795" s="341"/>
      <c r="Z795" s="341"/>
      <c r="AA795" s="341"/>
      <c r="AB795" s="341"/>
      <c r="AC795" s="341"/>
      <c r="AD795" s="341"/>
      <c r="AE795" s="341"/>
    </row>
    <row r="796" ht="12.0" customHeight="1">
      <c r="A796" s="341"/>
      <c r="B796" s="341"/>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c r="AA796" s="341"/>
      <c r="AB796" s="341"/>
      <c r="AC796" s="341"/>
      <c r="AD796" s="341"/>
      <c r="AE796" s="341"/>
    </row>
    <row r="797" ht="12.0" customHeight="1">
      <c r="A797" s="341"/>
      <c r="B797" s="341"/>
      <c r="C797" s="341"/>
      <c r="D797" s="341"/>
      <c r="E797" s="341"/>
      <c r="F797" s="341"/>
      <c r="G797" s="341"/>
      <c r="H797" s="341"/>
      <c r="I797" s="341"/>
      <c r="J797" s="341"/>
      <c r="K797" s="341"/>
      <c r="L797" s="341"/>
      <c r="M797" s="341"/>
      <c r="N797" s="341"/>
      <c r="O797" s="341"/>
      <c r="P797" s="341"/>
      <c r="Q797" s="341"/>
      <c r="R797" s="341"/>
      <c r="S797" s="341"/>
      <c r="T797" s="341"/>
      <c r="U797" s="341"/>
      <c r="V797" s="341"/>
      <c r="W797" s="341"/>
      <c r="X797" s="341"/>
      <c r="Y797" s="341"/>
      <c r="Z797" s="341"/>
      <c r="AA797" s="341"/>
      <c r="AB797" s="341"/>
      <c r="AC797" s="341"/>
      <c r="AD797" s="341"/>
      <c r="AE797" s="341"/>
    </row>
    <row r="798" ht="12.0" customHeight="1">
      <c r="A798" s="341"/>
      <c r="B798" s="341"/>
      <c r="C798" s="341"/>
      <c r="D798" s="341"/>
      <c r="E798" s="341"/>
      <c r="F798" s="341"/>
      <c r="G798" s="341"/>
      <c r="H798" s="341"/>
      <c r="I798" s="341"/>
      <c r="J798" s="341"/>
      <c r="K798" s="341"/>
      <c r="L798" s="341"/>
      <c r="M798" s="341"/>
      <c r="N798" s="341"/>
      <c r="O798" s="341"/>
      <c r="P798" s="341"/>
      <c r="Q798" s="341"/>
      <c r="R798" s="341"/>
      <c r="S798" s="341"/>
      <c r="T798" s="341"/>
      <c r="U798" s="341"/>
      <c r="V798" s="341"/>
      <c r="W798" s="341"/>
      <c r="X798" s="341"/>
      <c r="Y798" s="341"/>
      <c r="Z798" s="341"/>
      <c r="AA798" s="341"/>
      <c r="AB798" s="341"/>
      <c r="AC798" s="341"/>
      <c r="AD798" s="341"/>
      <c r="AE798" s="341"/>
    </row>
    <row r="799" ht="12.0" customHeight="1">
      <c r="A799" s="341"/>
      <c r="B799" s="341"/>
      <c r="C799" s="341"/>
      <c r="D799" s="341"/>
      <c r="E799" s="341"/>
      <c r="F799" s="341"/>
      <c r="G799" s="341"/>
      <c r="H799" s="341"/>
      <c r="I799" s="341"/>
      <c r="J799" s="341"/>
      <c r="K799" s="341"/>
      <c r="L799" s="341"/>
      <c r="M799" s="341"/>
      <c r="N799" s="341"/>
      <c r="O799" s="341"/>
      <c r="P799" s="341"/>
      <c r="Q799" s="341"/>
      <c r="R799" s="341"/>
      <c r="S799" s="341"/>
      <c r="T799" s="341"/>
      <c r="U799" s="341"/>
      <c r="V799" s="341"/>
      <c r="W799" s="341"/>
      <c r="X799" s="341"/>
      <c r="Y799" s="341"/>
      <c r="Z799" s="341"/>
      <c r="AA799" s="341"/>
      <c r="AB799" s="341"/>
      <c r="AC799" s="341"/>
      <c r="AD799" s="341"/>
      <c r="AE799" s="341"/>
    </row>
    <row r="800" ht="12.0" customHeight="1">
      <c r="A800" s="341"/>
      <c r="B800" s="341"/>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c r="AA800" s="341"/>
      <c r="AB800" s="341"/>
      <c r="AC800" s="341"/>
      <c r="AD800" s="341"/>
      <c r="AE800" s="341"/>
    </row>
    <row r="801" ht="12.0" customHeight="1">
      <c r="A801" s="341"/>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c r="AA801" s="341"/>
      <c r="AB801" s="341"/>
      <c r="AC801" s="341"/>
      <c r="AD801" s="341"/>
      <c r="AE801" s="341"/>
    </row>
    <row r="802" ht="12.0" customHeight="1">
      <c r="A802" s="341"/>
      <c r="B802" s="341"/>
      <c r="C802" s="341"/>
      <c r="D802" s="341"/>
      <c r="E802" s="341"/>
      <c r="F802" s="341"/>
      <c r="G802" s="341"/>
      <c r="H802" s="341"/>
      <c r="I802" s="341"/>
      <c r="J802" s="341"/>
      <c r="K802" s="341"/>
      <c r="L802" s="341"/>
      <c r="M802" s="341"/>
      <c r="N802" s="341"/>
      <c r="O802" s="341"/>
      <c r="P802" s="341"/>
      <c r="Q802" s="341"/>
      <c r="R802" s="341"/>
      <c r="S802" s="341"/>
      <c r="T802" s="341"/>
      <c r="U802" s="341"/>
      <c r="V802" s="341"/>
      <c r="W802" s="341"/>
      <c r="X802" s="341"/>
      <c r="Y802" s="341"/>
      <c r="Z802" s="341"/>
      <c r="AA802" s="341"/>
      <c r="AB802" s="341"/>
      <c r="AC802" s="341"/>
      <c r="AD802" s="341"/>
      <c r="AE802" s="341"/>
    </row>
    <row r="803" ht="12.0" customHeight="1">
      <c r="A803" s="341"/>
      <c r="B803" s="341"/>
      <c r="C803" s="341"/>
      <c r="D803" s="341"/>
      <c r="E803" s="341"/>
      <c r="F803" s="341"/>
      <c r="G803" s="341"/>
      <c r="H803" s="341"/>
      <c r="I803" s="341"/>
      <c r="J803" s="341"/>
      <c r="K803" s="341"/>
      <c r="L803" s="341"/>
      <c r="M803" s="341"/>
      <c r="N803" s="341"/>
      <c r="O803" s="341"/>
      <c r="P803" s="341"/>
      <c r="Q803" s="341"/>
      <c r="R803" s="341"/>
      <c r="S803" s="341"/>
      <c r="T803" s="341"/>
      <c r="U803" s="341"/>
      <c r="V803" s="341"/>
      <c r="W803" s="341"/>
      <c r="X803" s="341"/>
      <c r="Y803" s="341"/>
      <c r="Z803" s="341"/>
      <c r="AA803" s="341"/>
      <c r="AB803" s="341"/>
      <c r="AC803" s="341"/>
      <c r="AD803" s="341"/>
      <c r="AE803" s="341"/>
    </row>
    <row r="804" ht="12.0" customHeight="1">
      <c r="A804" s="341"/>
      <c r="B804" s="341"/>
      <c r="C804" s="341"/>
      <c r="D804" s="341"/>
      <c r="E804" s="341"/>
      <c r="F804" s="341"/>
      <c r="G804" s="341"/>
      <c r="H804" s="341"/>
      <c r="I804" s="341"/>
      <c r="J804" s="341"/>
      <c r="K804" s="341"/>
      <c r="L804" s="341"/>
      <c r="M804" s="341"/>
      <c r="N804" s="341"/>
      <c r="O804" s="341"/>
      <c r="P804" s="341"/>
      <c r="Q804" s="341"/>
      <c r="R804" s="341"/>
      <c r="S804" s="341"/>
      <c r="T804" s="341"/>
      <c r="U804" s="341"/>
      <c r="V804" s="341"/>
      <c r="W804" s="341"/>
      <c r="X804" s="341"/>
      <c r="Y804" s="341"/>
      <c r="Z804" s="341"/>
      <c r="AA804" s="341"/>
      <c r="AB804" s="341"/>
      <c r="AC804" s="341"/>
      <c r="AD804" s="341"/>
      <c r="AE804" s="341"/>
    </row>
    <row r="805" ht="12.0" customHeight="1">
      <c r="A805" s="341"/>
      <c r="B805" s="341"/>
      <c r="C805" s="341"/>
      <c r="D805" s="341"/>
      <c r="E805" s="341"/>
      <c r="F805" s="341"/>
      <c r="G805" s="341"/>
      <c r="H805" s="341"/>
      <c r="I805" s="341"/>
      <c r="J805" s="341"/>
      <c r="K805" s="341"/>
      <c r="L805" s="341"/>
      <c r="M805" s="341"/>
      <c r="N805" s="341"/>
      <c r="O805" s="341"/>
      <c r="P805" s="341"/>
      <c r="Q805" s="341"/>
      <c r="R805" s="341"/>
      <c r="S805" s="341"/>
      <c r="T805" s="341"/>
      <c r="U805" s="341"/>
      <c r="V805" s="341"/>
      <c r="W805" s="341"/>
      <c r="X805" s="341"/>
      <c r="Y805" s="341"/>
      <c r="Z805" s="341"/>
      <c r="AA805" s="341"/>
      <c r="AB805" s="341"/>
      <c r="AC805" s="341"/>
      <c r="AD805" s="341"/>
      <c r="AE805" s="341"/>
    </row>
    <row r="806" ht="12.0" customHeight="1">
      <c r="A806" s="341"/>
      <c r="B806" s="341"/>
      <c r="C806" s="341"/>
      <c r="D806" s="341"/>
      <c r="E806" s="341"/>
      <c r="F806" s="341"/>
      <c r="G806" s="341"/>
      <c r="H806" s="341"/>
      <c r="I806" s="341"/>
      <c r="J806" s="341"/>
      <c r="K806" s="341"/>
      <c r="L806" s="341"/>
      <c r="M806" s="341"/>
      <c r="N806" s="341"/>
      <c r="O806" s="341"/>
      <c r="P806" s="341"/>
      <c r="Q806" s="341"/>
      <c r="R806" s="341"/>
      <c r="S806" s="341"/>
      <c r="T806" s="341"/>
      <c r="U806" s="341"/>
      <c r="V806" s="341"/>
      <c r="W806" s="341"/>
      <c r="X806" s="341"/>
      <c r="Y806" s="341"/>
      <c r="Z806" s="341"/>
      <c r="AA806" s="341"/>
      <c r="AB806" s="341"/>
      <c r="AC806" s="341"/>
      <c r="AD806" s="341"/>
      <c r="AE806" s="341"/>
    </row>
    <row r="807" ht="12.0" customHeight="1">
      <c r="A807" s="341"/>
      <c r="B807" s="341"/>
      <c r="C807" s="341"/>
      <c r="D807" s="341"/>
      <c r="E807" s="341"/>
      <c r="F807" s="341"/>
      <c r="G807" s="341"/>
      <c r="H807" s="341"/>
      <c r="I807" s="341"/>
      <c r="J807" s="341"/>
      <c r="K807" s="341"/>
      <c r="L807" s="341"/>
      <c r="M807" s="341"/>
      <c r="N807" s="341"/>
      <c r="O807" s="341"/>
      <c r="P807" s="341"/>
      <c r="Q807" s="341"/>
      <c r="R807" s="341"/>
      <c r="S807" s="341"/>
      <c r="T807" s="341"/>
      <c r="U807" s="341"/>
      <c r="V807" s="341"/>
      <c r="W807" s="341"/>
      <c r="X807" s="341"/>
      <c r="Y807" s="341"/>
      <c r="Z807" s="341"/>
      <c r="AA807" s="341"/>
      <c r="AB807" s="341"/>
      <c r="AC807" s="341"/>
      <c r="AD807" s="341"/>
      <c r="AE807" s="341"/>
    </row>
    <row r="808" ht="12.0" customHeight="1">
      <c r="A808" s="341"/>
      <c r="B808" s="341"/>
      <c r="C808" s="341"/>
      <c r="D808" s="341"/>
      <c r="E808" s="341"/>
      <c r="F808" s="341"/>
      <c r="G808" s="341"/>
      <c r="H808" s="341"/>
      <c r="I808" s="341"/>
      <c r="J808" s="341"/>
      <c r="K808" s="341"/>
      <c r="L808" s="341"/>
      <c r="M808" s="341"/>
      <c r="N808" s="341"/>
      <c r="O808" s="341"/>
      <c r="P808" s="341"/>
      <c r="Q808" s="341"/>
      <c r="R808" s="341"/>
      <c r="S808" s="341"/>
      <c r="T808" s="341"/>
      <c r="U808" s="341"/>
      <c r="V808" s="341"/>
      <c r="W808" s="341"/>
      <c r="X808" s="341"/>
      <c r="Y808" s="341"/>
      <c r="Z808" s="341"/>
      <c r="AA808" s="341"/>
      <c r="AB808" s="341"/>
      <c r="AC808" s="341"/>
      <c r="AD808" s="341"/>
      <c r="AE808" s="341"/>
    </row>
    <row r="809" ht="12.0" customHeight="1">
      <c r="A809" s="341"/>
      <c r="B809" s="341"/>
      <c r="C809" s="341"/>
      <c r="D809" s="341"/>
      <c r="E809" s="341"/>
      <c r="F809" s="341"/>
      <c r="G809" s="341"/>
      <c r="H809" s="341"/>
      <c r="I809" s="341"/>
      <c r="J809" s="341"/>
      <c r="K809" s="341"/>
      <c r="L809" s="341"/>
      <c r="M809" s="341"/>
      <c r="N809" s="341"/>
      <c r="O809" s="341"/>
      <c r="P809" s="341"/>
      <c r="Q809" s="341"/>
      <c r="R809" s="341"/>
      <c r="S809" s="341"/>
      <c r="T809" s="341"/>
      <c r="U809" s="341"/>
      <c r="V809" s="341"/>
      <c r="W809" s="341"/>
      <c r="X809" s="341"/>
      <c r="Y809" s="341"/>
      <c r="Z809" s="341"/>
      <c r="AA809" s="341"/>
      <c r="AB809" s="341"/>
      <c r="AC809" s="341"/>
      <c r="AD809" s="341"/>
      <c r="AE809" s="341"/>
    </row>
    <row r="810" ht="12.0" customHeight="1">
      <c r="A810" s="341"/>
      <c r="B810" s="341"/>
      <c r="C810" s="341"/>
      <c r="D810" s="341"/>
      <c r="E810" s="341"/>
      <c r="F810" s="341"/>
      <c r="G810" s="341"/>
      <c r="H810" s="341"/>
      <c r="I810" s="341"/>
      <c r="J810" s="341"/>
      <c r="K810" s="341"/>
      <c r="L810" s="341"/>
      <c r="M810" s="341"/>
      <c r="N810" s="341"/>
      <c r="O810" s="341"/>
      <c r="P810" s="341"/>
      <c r="Q810" s="341"/>
      <c r="R810" s="341"/>
      <c r="S810" s="341"/>
      <c r="T810" s="341"/>
      <c r="U810" s="341"/>
      <c r="V810" s="341"/>
      <c r="W810" s="341"/>
      <c r="X810" s="341"/>
      <c r="Y810" s="341"/>
      <c r="Z810" s="341"/>
      <c r="AA810" s="341"/>
      <c r="AB810" s="341"/>
      <c r="AC810" s="341"/>
      <c r="AD810" s="341"/>
      <c r="AE810" s="341"/>
    </row>
    <row r="811" ht="12.0" customHeight="1">
      <c r="A811" s="341"/>
      <c r="B811" s="341"/>
      <c r="C811" s="341"/>
      <c r="D811" s="341"/>
      <c r="E811" s="341"/>
      <c r="F811" s="341"/>
      <c r="G811" s="341"/>
      <c r="H811" s="341"/>
      <c r="I811" s="341"/>
      <c r="J811" s="341"/>
      <c r="K811" s="341"/>
      <c r="L811" s="341"/>
      <c r="M811" s="341"/>
      <c r="N811" s="341"/>
      <c r="O811" s="341"/>
      <c r="P811" s="341"/>
      <c r="Q811" s="341"/>
      <c r="R811" s="341"/>
      <c r="S811" s="341"/>
      <c r="T811" s="341"/>
      <c r="U811" s="341"/>
      <c r="V811" s="341"/>
      <c r="W811" s="341"/>
      <c r="X811" s="341"/>
      <c r="Y811" s="341"/>
      <c r="Z811" s="341"/>
      <c r="AA811" s="341"/>
      <c r="AB811" s="341"/>
      <c r="AC811" s="341"/>
      <c r="AD811" s="341"/>
      <c r="AE811" s="341"/>
    </row>
    <row r="812" ht="12.0" customHeight="1">
      <c r="A812" s="341"/>
      <c r="B812" s="341"/>
      <c r="C812" s="341"/>
      <c r="D812" s="341"/>
      <c r="E812" s="341"/>
      <c r="F812" s="341"/>
      <c r="G812" s="341"/>
      <c r="H812" s="341"/>
      <c r="I812" s="341"/>
      <c r="J812" s="341"/>
      <c r="K812" s="341"/>
      <c r="L812" s="341"/>
      <c r="M812" s="341"/>
      <c r="N812" s="341"/>
      <c r="O812" s="341"/>
      <c r="P812" s="341"/>
      <c r="Q812" s="341"/>
      <c r="R812" s="341"/>
      <c r="S812" s="341"/>
      <c r="T812" s="341"/>
      <c r="U812" s="341"/>
      <c r="V812" s="341"/>
      <c r="W812" s="341"/>
      <c r="X812" s="341"/>
      <c r="Y812" s="341"/>
      <c r="Z812" s="341"/>
      <c r="AA812" s="341"/>
      <c r="AB812" s="341"/>
      <c r="AC812" s="341"/>
      <c r="AD812" s="341"/>
      <c r="AE812" s="341"/>
    </row>
    <row r="813" ht="12.0" customHeight="1">
      <c r="A813" s="341"/>
      <c r="B813" s="341"/>
      <c r="C813" s="341"/>
      <c r="D813" s="341"/>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c r="AA813" s="341"/>
      <c r="AB813" s="341"/>
      <c r="AC813" s="341"/>
      <c r="AD813" s="341"/>
      <c r="AE813" s="341"/>
    </row>
    <row r="814" ht="12.0" customHeight="1">
      <c r="A814" s="341"/>
      <c r="B814" s="341"/>
      <c r="C814" s="341"/>
      <c r="D814" s="341"/>
      <c r="E814" s="341"/>
      <c r="F814" s="341"/>
      <c r="G814" s="341"/>
      <c r="H814" s="341"/>
      <c r="I814" s="341"/>
      <c r="J814" s="341"/>
      <c r="K814" s="341"/>
      <c r="L814" s="341"/>
      <c r="M814" s="341"/>
      <c r="N814" s="341"/>
      <c r="O814" s="341"/>
      <c r="P814" s="341"/>
      <c r="Q814" s="341"/>
      <c r="R814" s="341"/>
      <c r="S814" s="341"/>
      <c r="T814" s="341"/>
      <c r="U814" s="341"/>
      <c r="V814" s="341"/>
      <c r="W814" s="341"/>
      <c r="X814" s="341"/>
      <c r="Y814" s="341"/>
      <c r="Z814" s="341"/>
      <c r="AA814" s="341"/>
      <c r="AB814" s="341"/>
      <c r="AC814" s="341"/>
      <c r="AD814" s="341"/>
      <c r="AE814" s="341"/>
    </row>
    <row r="815" ht="12.0" customHeight="1">
      <c r="A815" s="341"/>
      <c r="B815" s="341"/>
      <c r="C815" s="341"/>
      <c r="D815" s="341"/>
      <c r="E815" s="341"/>
      <c r="F815" s="341"/>
      <c r="G815" s="341"/>
      <c r="H815" s="341"/>
      <c r="I815" s="341"/>
      <c r="J815" s="341"/>
      <c r="K815" s="341"/>
      <c r="L815" s="341"/>
      <c r="M815" s="341"/>
      <c r="N815" s="341"/>
      <c r="O815" s="341"/>
      <c r="P815" s="341"/>
      <c r="Q815" s="341"/>
      <c r="R815" s="341"/>
      <c r="S815" s="341"/>
      <c r="T815" s="341"/>
      <c r="U815" s="341"/>
      <c r="V815" s="341"/>
      <c r="W815" s="341"/>
      <c r="X815" s="341"/>
      <c r="Y815" s="341"/>
      <c r="Z815" s="341"/>
      <c r="AA815" s="341"/>
      <c r="AB815" s="341"/>
      <c r="AC815" s="341"/>
      <c r="AD815" s="341"/>
      <c r="AE815" s="341"/>
    </row>
    <row r="816" ht="12.0" customHeight="1">
      <c r="A816" s="341"/>
      <c r="B816" s="341"/>
      <c r="C816" s="341"/>
      <c r="D816" s="341"/>
      <c r="E816" s="341"/>
      <c r="F816" s="341"/>
      <c r="G816" s="341"/>
      <c r="H816" s="341"/>
      <c r="I816" s="341"/>
      <c r="J816" s="341"/>
      <c r="K816" s="341"/>
      <c r="L816" s="341"/>
      <c r="M816" s="341"/>
      <c r="N816" s="341"/>
      <c r="O816" s="341"/>
      <c r="P816" s="341"/>
      <c r="Q816" s="341"/>
      <c r="R816" s="341"/>
      <c r="S816" s="341"/>
      <c r="T816" s="341"/>
      <c r="U816" s="341"/>
      <c r="V816" s="341"/>
      <c r="W816" s="341"/>
      <c r="X816" s="341"/>
      <c r="Y816" s="341"/>
      <c r="Z816" s="341"/>
      <c r="AA816" s="341"/>
      <c r="AB816" s="341"/>
      <c r="AC816" s="341"/>
      <c r="AD816" s="341"/>
      <c r="AE816" s="341"/>
    </row>
    <row r="817" ht="12.0" customHeight="1">
      <c r="A817" s="341"/>
      <c r="B817" s="341"/>
      <c r="C817" s="341"/>
      <c r="D817" s="341"/>
      <c r="E817" s="341"/>
      <c r="F817" s="341"/>
      <c r="G817" s="341"/>
      <c r="H817" s="341"/>
      <c r="I817" s="341"/>
      <c r="J817" s="341"/>
      <c r="K817" s="341"/>
      <c r="L817" s="341"/>
      <c r="M817" s="341"/>
      <c r="N817" s="341"/>
      <c r="O817" s="341"/>
      <c r="P817" s="341"/>
      <c r="Q817" s="341"/>
      <c r="R817" s="341"/>
      <c r="S817" s="341"/>
      <c r="T817" s="341"/>
      <c r="U817" s="341"/>
      <c r="V817" s="341"/>
      <c r="W817" s="341"/>
      <c r="X817" s="341"/>
      <c r="Y817" s="341"/>
      <c r="Z817" s="341"/>
      <c r="AA817" s="341"/>
      <c r="AB817" s="341"/>
      <c r="AC817" s="341"/>
      <c r="AD817" s="341"/>
      <c r="AE817" s="341"/>
    </row>
    <row r="818" ht="12.0" customHeight="1">
      <c r="A818" s="341"/>
      <c r="B818" s="341"/>
      <c r="C818" s="341"/>
      <c r="D818" s="341"/>
      <c r="E818" s="341"/>
      <c r="F818" s="341"/>
      <c r="G818" s="341"/>
      <c r="H818" s="341"/>
      <c r="I818" s="341"/>
      <c r="J818" s="341"/>
      <c r="K818" s="341"/>
      <c r="L818" s="341"/>
      <c r="M818" s="341"/>
      <c r="N818" s="341"/>
      <c r="O818" s="341"/>
      <c r="P818" s="341"/>
      <c r="Q818" s="341"/>
      <c r="R818" s="341"/>
      <c r="S818" s="341"/>
      <c r="T818" s="341"/>
      <c r="U818" s="341"/>
      <c r="V818" s="341"/>
      <c r="W818" s="341"/>
      <c r="X818" s="341"/>
      <c r="Y818" s="341"/>
      <c r="Z818" s="341"/>
      <c r="AA818" s="341"/>
      <c r="AB818" s="341"/>
      <c r="AC818" s="341"/>
      <c r="AD818" s="341"/>
      <c r="AE818" s="341"/>
    </row>
    <row r="819" ht="12.0" customHeight="1">
      <c r="A819" s="341"/>
      <c r="B819" s="341"/>
      <c r="C819" s="341"/>
      <c r="D819" s="341"/>
      <c r="E819" s="341"/>
      <c r="F819" s="341"/>
      <c r="G819" s="341"/>
      <c r="H819" s="341"/>
      <c r="I819" s="341"/>
      <c r="J819" s="341"/>
      <c r="K819" s="341"/>
      <c r="L819" s="341"/>
      <c r="M819" s="341"/>
      <c r="N819" s="341"/>
      <c r="O819" s="341"/>
      <c r="P819" s="341"/>
      <c r="Q819" s="341"/>
      <c r="R819" s="341"/>
      <c r="S819" s="341"/>
      <c r="T819" s="341"/>
      <c r="U819" s="341"/>
      <c r="V819" s="341"/>
      <c r="W819" s="341"/>
      <c r="X819" s="341"/>
      <c r="Y819" s="341"/>
      <c r="Z819" s="341"/>
      <c r="AA819" s="341"/>
      <c r="AB819" s="341"/>
      <c r="AC819" s="341"/>
      <c r="AD819" s="341"/>
      <c r="AE819" s="341"/>
    </row>
    <row r="820" ht="12.0" customHeight="1">
      <c r="A820" s="341"/>
      <c r="B820" s="341"/>
      <c r="C820" s="341"/>
      <c r="D820" s="341"/>
      <c r="E820" s="341"/>
      <c r="F820" s="341"/>
      <c r="G820" s="341"/>
      <c r="H820" s="341"/>
      <c r="I820" s="341"/>
      <c r="J820" s="341"/>
      <c r="K820" s="341"/>
      <c r="L820" s="341"/>
      <c r="M820" s="341"/>
      <c r="N820" s="341"/>
      <c r="O820" s="341"/>
      <c r="P820" s="341"/>
      <c r="Q820" s="341"/>
      <c r="R820" s="341"/>
      <c r="S820" s="341"/>
      <c r="T820" s="341"/>
      <c r="U820" s="341"/>
      <c r="V820" s="341"/>
      <c r="W820" s="341"/>
      <c r="X820" s="341"/>
      <c r="Y820" s="341"/>
      <c r="Z820" s="341"/>
      <c r="AA820" s="341"/>
      <c r="AB820" s="341"/>
      <c r="AC820" s="341"/>
      <c r="AD820" s="341"/>
      <c r="AE820" s="341"/>
    </row>
    <row r="821" ht="12.0" customHeight="1">
      <c r="A821" s="341"/>
      <c r="B821" s="341"/>
      <c r="C821" s="341"/>
      <c r="D821" s="341"/>
      <c r="E821" s="341"/>
      <c r="F821" s="341"/>
      <c r="G821" s="341"/>
      <c r="H821" s="341"/>
      <c r="I821" s="341"/>
      <c r="J821" s="341"/>
      <c r="K821" s="341"/>
      <c r="L821" s="341"/>
      <c r="M821" s="341"/>
      <c r="N821" s="341"/>
      <c r="O821" s="341"/>
      <c r="P821" s="341"/>
      <c r="Q821" s="341"/>
      <c r="R821" s="341"/>
      <c r="S821" s="341"/>
      <c r="T821" s="341"/>
      <c r="U821" s="341"/>
      <c r="V821" s="341"/>
      <c r="W821" s="341"/>
      <c r="X821" s="341"/>
      <c r="Y821" s="341"/>
      <c r="Z821" s="341"/>
      <c r="AA821" s="341"/>
      <c r="AB821" s="341"/>
      <c r="AC821" s="341"/>
      <c r="AD821" s="341"/>
      <c r="AE821" s="341"/>
    </row>
    <row r="822" ht="12.0" customHeight="1">
      <c r="A822" s="341"/>
      <c r="B822" s="341"/>
      <c r="C822" s="341"/>
      <c r="D822" s="341"/>
      <c r="E822" s="341"/>
      <c r="F822" s="341"/>
      <c r="G822" s="341"/>
      <c r="H822" s="341"/>
      <c r="I822" s="341"/>
      <c r="J822" s="341"/>
      <c r="K822" s="341"/>
      <c r="L822" s="341"/>
      <c r="M822" s="341"/>
      <c r="N822" s="341"/>
      <c r="O822" s="341"/>
      <c r="P822" s="341"/>
      <c r="Q822" s="341"/>
      <c r="R822" s="341"/>
      <c r="S822" s="341"/>
      <c r="T822" s="341"/>
      <c r="U822" s="341"/>
      <c r="V822" s="341"/>
      <c r="W822" s="341"/>
      <c r="X822" s="341"/>
      <c r="Y822" s="341"/>
      <c r="Z822" s="341"/>
      <c r="AA822" s="341"/>
      <c r="AB822" s="341"/>
      <c r="AC822" s="341"/>
      <c r="AD822" s="341"/>
      <c r="AE822" s="341"/>
    </row>
    <row r="823" ht="12.0" customHeight="1">
      <c r="A823" s="341"/>
      <c r="B823" s="341"/>
      <c r="C823" s="341"/>
      <c r="D823" s="341"/>
      <c r="E823" s="341"/>
      <c r="F823" s="341"/>
      <c r="G823" s="341"/>
      <c r="H823" s="341"/>
      <c r="I823" s="341"/>
      <c r="J823" s="341"/>
      <c r="K823" s="341"/>
      <c r="L823" s="341"/>
      <c r="M823" s="341"/>
      <c r="N823" s="341"/>
      <c r="O823" s="341"/>
      <c r="P823" s="341"/>
      <c r="Q823" s="341"/>
      <c r="R823" s="341"/>
      <c r="S823" s="341"/>
      <c r="T823" s="341"/>
      <c r="U823" s="341"/>
      <c r="V823" s="341"/>
      <c r="W823" s="341"/>
      <c r="X823" s="341"/>
      <c r="Y823" s="341"/>
      <c r="Z823" s="341"/>
      <c r="AA823" s="341"/>
      <c r="AB823" s="341"/>
      <c r="AC823" s="341"/>
      <c r="AD823" s="341"/>
      <c r="AE823" s="341"/>
    </row>
    <row r="824" ht="12.0" customHeight="1">
      <c r="A824" s="341"/>
      <c r="B824" s="341"/>
      <c r="C824" s="341"/>
      <c r="D824" s="341"/>
      <c r="E824" s="341"/>
      <c r="F824" s="341"/>
      <c r="G824" s="341"/>
      <c r="H824" s="341"/>
      <c r="I824" s="341"/>
      <c r="J824" s="341"/>
      <c r="K824" s="341"/>
      <c r="L824" s="341"/>
      <c r="M824" s="341"/>
      <c r="N824" s="341"/>
      <c r="O824" s="341"/>
      <c r="P824" s="341"/>
      <c r="Q824" s="341"/>
      <c r="R824" s="341"/>
      <c r="S824" s="341"/>
      <c r="T824" s="341"/>
      <c r="U824" s="341"/>
      <c r="V824" s="341"/>
      <c r="W824" s="341"/>
      <c r="X824" s="341"/>
      <c r="Y824" s="341"/>
      <c r="Z824" s="341"/>
      <c r="AA824" s="341"/>
      <c r="AB824" s="341"/>
      <c r="AC824" s="341"/>
      <c r="AD824" s="341"/>
      <c r="AE824" s="341"/>
    </row>
    <row r="825" ht="12.0" customHeight="1">
      <c r="A825" s="341"/>
      <c r="B825" s="341"/>
      <c r="C825" s="341"/>
      <c r="D825" s="341"/>
      <c r="E825" s="341"/>
      <c r="F825" s="341"/>
      <c r="G825" s="341"/>
      <c r="H825" s="341"/>
      <c r="I825" s="341"/>
      <c r="J825" s="341"/>
      <c r="K825" s="341"/>
      <c r="L825" s="341"/>
      <c r="M825" s="341"/>
      <c r="N825" s="341"/>
      <c r="O825" s="341"/>
      <c r="P825" s="341"/>
      <c r="Q825" s="341"/>
      <c r="R825" s="341"/>
      <c r="S825" s="341"/>
      <c r="T825" s="341"/>
      <c r="U825" s="341"/>
      <c r="V825" s="341"/>
      <c r="W825" s="341"/>
      <c r="X825" s="341"/>
      <c r="Y825" s="341"/>
      <c r="Z825" s="341"/>
      <c r="AA825" s="341"/>
      <c r="AB825" s="341"/>
      <c r="AC825" s="341"/>
      <c r="AD825" s="341"/>
      <c r="AE825" s="341"/>
    </row>
    <row r="826" ht="12.0" customHeight="1">
      <c r="A826" s="341"/>
      <c r="B826" s="341"/>
      <c r="C826" s="341"/>
      <c r="D826" s="341"/>
      <c r="E826" s="341"/>
      <c r="F826" s="341"/>
      <c r="G826" s="341"/>
      <c r="H826" s="341"/>
      <c r="I826" s="341"/>
      <c r="J826" s="341"/>
      <c r="K826" s="341"/>
      <c r="L826" s="341"/>
      <c r="M826" s="341"/>
      <c r="N826" s="341"/>
      <c r="O826" s="341"/>
      <c r="P826" s="341"/>
      <c r="Q826" s="341"/>
      <c r="R826" s="341"/>
      <c r="S826" s="341"/>
      <c r="T826" s="341"/>
      <c r="U826" s="341"/>
      <c r="V826" s="341"/>
      <c r="W826" s="341"/>
      <c r="X826" s="341"/>
      <c r="Y826" s="341"/>
      <c r="Z826" s="341"/>
      <c r="AA826" s="341"/>
      <c r="AB826" s="341"/>
      <c r="AC826" s="341"/>
      <c r="AD826" s="341"/>
      <c r="AE826" s="341"/>
    </row>
    <row r="827" ht="12.0" customHeight="1">
      <c r="A827" s="341"/>
      <c r="B827" s="341"/>
      <c r="C827" s="341"/>
      <c r="D827" s="341"/>
      <c r="E827" s="341"/>
      <c r="F827" s="341"/>
      <c r="G827" s="341"/>
      <c r="H827" s="341"/>
      <c r="I827" s="341"/>
      <c r="J827" s="341"/>
      <c r="K827" s="341"/>
      <c r="L827" s="341"/>
      <c r="M827" s="341"/>
      <c r="N827" s="341"/>
      <c r="O827" s="341"/>
      <c r="P827" s="341"/>
      <c r="Q827" s="341"/>
      <c r="R827" s="341"/>
      <c r="S827" s="341"/>
      <c r="T827" s="341"/>
      <c r="U827" s="341"/>
      <c r="V827" s="341"/>
      <c r="W827" s="341"/>
      <c r="X827" s="341"/>
      <c r="Y827" s="341"/>
      <c r="Z827" s="341"/>
      <c r="AA827" s="341"/>
      <c r="AB827" s="341"/>
      <c r="AC827" s="341"/>
      <c r="AD827" s="341"/>
      <c r="AE827" s="341"/>
    </row>
    <row r="828" ht="12.0" customHeight="1">
      <c r="A828" s="341"/>
      <c r="B828" s="341"/>
      <c r="C828" s="341"/>
      <c r="D828" s="341"/>
      <c r="E828" s="341"/>
      <c r="F828" s="341"/>
      <c r="G828" s="341"/>
      <c r="H828" s="341"/>
      <c r="I828" s="341"/>
      <c r="J828" s="341"/>
      <c r="K828" s="341"/>
      <c r="L828" s="341"/>
      <c r="M828" s="341"/>
      <c r="N828" s="341"/>
      <c r="O828" s="341"/>
      <c r="P828" s="341"/>
      <c r="Q828" s="341"/>
      <c r="R828" s="341"/>
      <c r="S828" s="341"/>
      <c r="T828" s="341"/>
      <c r="U828" s="341"/>
      <c r="V828" s="341"/>
      <c r="W828" s="341"/>
      <c r="X828" s="341"/>
      <c r="Y828" s="341"/>
      <c r="Z828" s="341"/>
      <c r="AA828" s="341"/>
      <c r="AB828" s="341"/>
      <c r="AC828" s="341"/>
      <c r="AD828" s="341"/>
      <c r="AE828" s="341"/>
    </row>
    <row r="829" ht="12.0" customHeight="1">
      <c r="A829" s="341"/>
      <c r="B829" s="341"/>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c r="AA829" s="341"/>
      <c r="AB829" s="341"/>
      <c r="AC829" s="341"/>
      <c r="AD829" s="341"/>
      <c r="AE829" s="341"/>
    </row>
    <row r="830" ht="12.0" customHeight="1">
      <c r="A830" s="341"/>
      <c r="B830" s="341"/>
      <c r="C830" s="341"/>
      <c r="D830" s="341"/>
      <c r="E830" s="341"/>
      <c r="F830" s="341"/>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row>
    <row r="831" ht="12.0" customHeight="1">
      <c r="A831" s="341"/>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c r="AA831" s="341"/>
      <c r="AB831" s="341"/>
      <c r="AC831" s="341"/>
      <c r="AD831" s="341"/>
      <c r="AE831" s="341"/>
    </row>
    <row r="832" ht="12.0" customHeight="1">
      <c r="A832" s="341"/>
      <c r="B832" s="341"/>
      <c r="C832" s="341"/>
      <c r="D832" s="341"/>
      <c r="E832" s="341"/>
      <c r="F832" s="341"/>
      <c r="G832" s="341"/>
      <c r="H832" s="341"/>
      <c r="I832" s="341"/>
      <c r="J832" s="341"/>
      <c r="K832" s="341"/>
      <c r="L832" s="341"/>
      <c r="M832" s="341"/>
      <c r="N832" s="341"/>
      <c r="O832" s="341"/>
      <c r="P832" s="341"/>
      <c r="Q832" s="341"/>
      <c r="R832" s="341"/>
      <c r="S832" s="341"/>
      <c r="T832" s="341"/>
      <c r="U832" s="341"/>
      <c r="V832" s="341"/>
      <c r="W832" s="341"/>
      <c r="X832" s="341"/>
      <c r="Y832" s="341"/>
      <c r="Z832" s="341"/>
      <c r="AA832" s="341"/>
      <c r="AB832" s="341"/>
      <c r="AC832" s="341"/>
      <c r="AD832" s="341"/>
      <c r="AE832" s="341"/>
    </row>
    <row r="833" ht="12.0" customHeight="1">
      <c r="A833" s="341"/>
      <c r="B833" s="341"/>
      <c r="C833" s="341"/>
      <c r="D833" s="341"/>
      <c r="E833" s="341"/>
      <c r="F833" s="341"/>
      <c r="G833" s="341"/>
      <c r="H833" s="341"/>
      <c r="I833" s="341"/>
      <c r="J833" s="341"/>
      <c r="K833" s="341"/>
      <c r="L833" s="341"/>
      <c r="M833" s="341"/>
      <c r="N833" s="341"/>
      <c r="O833" s="341"/>
      <c r="P833" s="341"/>
      <c r="Q833" s="341"/>
      <c r="R833" s="341"/>
      <c r="S833" s="341"/>
      <c r="T833" s="341"/>
      <c r="U833" s="341"/>
      <c r="V833" s="341"/>
      <c r="W833" s="341"/>
      <c r="X833" s="341"/>
      <c r="Y833" s="341"/>
      <c r="Z833" s="341"/>
      <c r="AA833" s="341"/>
      <c r="AB833" s="341"/>
      <c r="AC833" s="341"/>
      <c r="AD833" s="341"/>
      <c r="AE833" s="341"/>
    </row>
    <row r="834" ht="12.0" customHeight="1">
      <c r="A834" s="341"/>
      <c r="B834" s="341"/>
      <c r="C834" s="341"/>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c r="AA834" s="341"/>
      <c r="AB834" s="341"/>
      <c r="AC834" s="341"/>
      <c r="AD834" s="341"/>
      <c r="AE834" s="341"/>
    </row>
    <row r="835" ht="12.0" customHeight="1">
      <c r="A835" s="341"/>
      <c r="B835" s="341"/>
      <c r="C835" s="341"/>
      <c r="D835" s="341"/>
      <c r="E835" s="341"/>
      <c r="F835" s="341"/>
      <c r="G835" s="341"/>
      <c r="H835" s="341"/>
      <c r="I835" s="341"/>
      <c r="J835" s="341"/>
      <c r="K835" s="341"/>
      <c r="L835" s="341"/>
      <c r="M835" s="341"/>
      <c r="N835" s="341"/>
      <c r="O835" s="341"/>
      <c r="P835" s="341"/>
      <c r="Q835" s="341"/>
      <c r="R835" s="341"/>
      <c r="S835" s="341"/>
      <c r="T835" s="341"/>
      <c r="U835" s="341"/>
      <c r="V835" s="341"/>
      <c r="W835" s="341"/>
      <c r="X835" s="341"/>
      <c r="Y835" s="341"/>
      <c r="Z835" s="341"/>
      <c r="AA835" s="341"/>
      <c r="AB835" s="341"/>
      <c r="AC835" s="341"/>
      <c r="AD835" s="341"/>
      <c r="AE835" s="341"/>
    </row>
    <row r="836" ht="12.0" customHeight="1">
      <c r="A836" s="341"/>
      <c r="B836" s="341"/>
      <c r="C836" s="341"/>
      <c r="D836" s="341"/>
      <c r="E836" s="341"/>
      <c r="F836" s="341"/>
      <c r="G836" s="341"/>
      <c r="H836" s="341"/>
      <c r="I836" s="341"/>
      <c r="J836" s="341"/>
      <c r="K836" s="341"/>
      <c r="L836" s="341"/>
      <c r="M836" s="341"/>
      <c r="N836" s="341"/>
      <c r="O836" s="341"/>
      <c r="P836" s="341"/>
      <c r="Q836" s="341"/>
      <c r="R836" s="341"/>
      <c r="S836" s="341"/>
      <c r="T836" s="341"/>
      <c r="U836" s="341"/>
      <c r="V836" s="341"/>
      <c r="W836" s="341"/>
      <c r="X836" s="341"/>
      <c r="Y836" s="341"/>
      <c r="Z836" s="341"/>
      <c r="AA836" s="341"/>
      <c r="AB836" s="341"/>
      <c r="AC836" s="341"/>
      <c r="AD836" s="341"/>
      <c r="AE836" s="341"/>
    </row>
    <row r="837" ht="12.0" customHeight="1">
      <c r="A837" s="341"/>
      <c r="B837" s="341"/>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c r="AA837" s="341"/>
      <c r="AB837" s="341"/>
      <c r="AC837" s="341"/>
      <c r="AD837" s="341"/>
      <c r="AE837" s="341"/>
    </row>
    <row r="838" ht="12.0" customHeight="1">
      <c r="A838" s="341"/>
      <c r="B838" s="341"/>
      <c r="C838" s="341"/>
      <c r="D838" s="341"/>
      <c r="E838" s="341"/>
      <c r="F838" s="341"/>
      <c r="G838" s="341"/>
      <c r="H838" s="341"/>
      <c r="I838" s="341"/>
      <c r="J838" s="341"/>
      <c r="K838" s="341"/>
      <c r="L838" s="341"/>
      <c r="M838" s="341"/>
      <c r="N838" s="341"/>
      <c r="O838" s="341"/>
      <c r="P838" s="341"/>
      <c r="Q838" s="341"/>
      <c r="R838" s="341"/>
      <c r="S838" s="341"/>
      <c r="T838" s="341"/>
      <c r="U838" s="341"/>
      <c r="V838" s="341"/>
      <c r="W838" s="341"/>
      <c r="X838" s="341"/>
      <c r="Y838" s="341"/>
      <c r="Z838" s="341"/>
      <c r="AA838" s="341"/>
      <c r="AB838" s="341"/>
      <c r="AC838" s="341"/>
      <c r="AD838" s="341"/>
      <c r="AE838" s="341"/>
    </row>
    <row r="839" ht="12.0" customHeight="1">
      <c r="A839" s="341"/>
      <c r="B839" s="341"/>
      <c r="C839" s="341"/>
      <c r="D839" s="341"/>
      <c r="E839" s="341"/>
      <c r="F839" s="341"/>
      <c r="G839" s="341"/>
      <c r="H839" s="341"/>
      <c r="I839" s="341"/>
      <c r="J839" s="341"/>
      <c r="K839" s="341"/>
      <c r="L839" s="341"/>
      <c r="M839" s="341"/>
      <c r="N839" s="341"/>
      <c r="O839" s="341"/>
      <c r="P839" s="341"/>
      <c r="Q839" s="341"/>
      <c r="R839" s="341"/>
      <c r="S839" s="341"/>
      <c r="T839" s="341"/>
      <c r="U839" s="341"/>
      <c r="V839" s="341"/>
      <c r="W839" s="341"/>
      <c r="X839" s="341"/>
      <c r="Y839" s="341"/>
      <c r="Z839" s="341"/>
      <c r="AA839" s="341"/>
      <c r="AB839" s="341"/>
      <c r="AC839" s="341"/>
      <c r="AD839" s="341"/>
      <c r="AE839" s="341"/>
    </row>
    <row r="840" ht="12.0" customHeight="1">
      <c r="A840" s="341"/>
      <c r="B840" s="341"/>
      <c r="C840" s="341"/>
      <c r="D840" s="341"/>
      <c r="E840" s="341"/>
      <c r="F840" s="341"/>
      <c r="G840" s="341"/>
      <c r="H840" s="341"/>
      <c r="I840" s="341"/>
      <c r="J840" s="341"/>
      <c r="K840" s="341"/>
      <c r="L840" s="341"/>
      <c r="M840" s="341"/>
      <c r="N840" s="341"/>
      <c r="O840" s="341"/>
      <c r="P840" s="341"/>
      <c r="Q840" s="341"/>
      <c r="R840" s="341"/>
      <c r="S840" s="341"/>
      <c r="T840" s="341"/>
      <c r="U840" s="341"/>
      <c r="V840" s="341"/>
      <c r="W840" s="341"/>
      <c r="X840" s="341"/>
      <c r="Y840" s="341"/>
      <c r="Z840" s="341"/>
      <c r="AA840" s="341"/>
      <c r="AB840" s="341"/>
      <c r="AC840" s="341"/>
      <c r="AD840" s="341"/>
      <c r="AE840" s="341"/>
    </row>
    <row r="841" ht="12.0" customHeight="1">
      <c r="A841" s="341"/>
      <c r="B841" s="341"/>
      <c r="C841" s="341"/>
      <c r="D841" s="341"/>
      <c r="E841" s="341"/>
      <c r="F841" s="341"/>
      <c r="G841" s="341"/>
      <c r="H841" s="341"/>
      <c r="I841" s="341"/>
      <c r="J841" s="341"/>
      <c r="K841" s="341"/>
      <c r="L841" s="341"/>
      <c r="M841" s="341"/>
      <c r="N841" s="341"/>
      <c r="O841" s="341"/>
      <c r="P841" s="341"/>
      <c r="Q841" s="341"/>
      <c r="R841" s="341"/>
      <c r="S841" s="341"/>
      <c r="T841" s="341"/>
      <c r="U841" s="341"/>
      <c r="V841" s="341"/>
      <c r="W841" s="341"/>
      <c r="X841" s="341"/>
      <c r="Y841" s="341"/>
      <c r="Z841" s="341"/>
      <c r="AA841" s="341"/>
      <c r="AB841" s="341"/>
      <c r="AC841" s="341"/>
      <c r="AD841" s="341"/>
      <c r="AE841" s="341"/>
    </row>
    <row r="842" ht="12.0" customHeight="1">
      <c r="A842" s="341"/>
      <c r="B842" s="341"/>
      <c r="C842" s="341"/>
      <c r="D842" s="341"/>
      <c r="E842" s="341"/>
      <c r="F842" s="341"/>
      <c r="G842" s="341"/>
      <c r="H842" s="341"/>
      <c r="I842" s="341"/>
      <c r="J842" s="341"/>
      <c r="K842" s="341"/>
      <c r="L842" s="341"/>
      <c r="M842" s="341"/>
      <c r="N842" s="341"/>
      <c r="O842" s="341"/>
      <c r="P842" s="341"/>
      <c r="Q842" s="341"/>
      <c r="R842" s="341"/>
      <c r="S842" s="341"/>
      <c r="T842" s="341"/>
      <c r="U842" s="341"/>
      <c r="V842" s="341"/>
      <c r="W842" s="341"/>
      <c r="X842" s="341"/>
      <c r="Y842" s="341"/>
      <c r="Z842" s="341"/>
      <c r="AA842" s="341"/>
      <c r="AB842" s="341"/>
      <c r="AC842" s="341"/>
      <c r="AD842" s="341"/>
      <c r="AE842" s="341"/>
    </row>
    <row r="843" ht="12.0" customHeight="1">
      <c r="A843" s="341"/>
      <c r="B843" s="341"/>
      <c r="C843" s="341"/>
      <c r="D843" s="341"/>
      <c r="E843" s="341"/>
      <c r="F843" s="341"/>
      <c r="G843" s="341"/>
      <c r="H843" s="341"/>
      <c r="I843" s="341"/>
      <c r="J843" s="341"/>
      <c r="K843" s="341"/>
      <c r="L843" s="341"/>
      <c r="M843" s="341"/>
      <c r="N843" s="341"/>
      <c r="O843" s="341"/>
      <c r="P843" s="341"/>
      <c r="Q843" s="341"/>
      <c r="R843" s="341"/>
      <c r="S843" s="341"/>
      <c r="T843" s="341"/>
      <c r="U843" s="341"/>
      <c r="V843" s="341"/>
      <c r="W843" s="341"/>
      <c r="X843" s="341"/>
      <c r="Y843" s="341"/>
      <c r="Z843" s="341"/>
      <c r="AA843" s="341"/>
      <c r="AB843" s="341"/>
      <c r="AC843" s="341"/>
      <c r="AD843" s="341"/>
      <c r="AE843" s="341"/>
    </row>
    <row r="844" ht="12.0" customHeight="1">
      <c r="A844" s="341"/>
      <c r="B844" s="341"/>
      <c r="C844" s="341"/>
      <c r="D844" s="341"/>
      <c r="E844" s="341"/>
      <c r="F844" s="341"/>
      <c r="G844" s="341"/>
      <c r="H844" s="341"/>
      <c r="I844" s="341"/>
      <c r="J844" s="341"/>
      <c r="K844" s="341"/>
      <c r="L844" s="341"/>
      <c r="M844" s="341"/>
      <c r="N844" s="341"/>
      <c r="O844" s="341"/>
      <c r="P844" s="341"/>
      <c r="Q844" s="341"/>
      <c r="R844" s="341"/>
      <c r="S844" s="341"/>
      <c r="T844" s="341"/>
      <c r="U844" s="341"/>
      <c r="V844" s="341"/>
      <c r="W844" s="341"/>
      <c r="X844" s="341"/>
      <c r="Y844" s="341"/>
      <c r="Z844" s="341"/>
      <c r="AA844" s="341"/>
      <c r="AB844" s="341"/>
      <c r="AC844" s="341"/>
      <c r="AD844" s="341"/>
      <c r="AE844" s="341"/>
    </row>
    <row r="845" ht="12.0" customHeight="1">
      <c r="A845" s="341"/>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c r="AA845" s="341"/>
      <c r="AB845" s="341"/>
      <c r="AC845" s="341"/>
      <c r="AD845" s="341"/>
      <c r="AE845" s="341"/>
    </row>
    <row r="846" ht="12.0" customHeight="1">
      <c r="A846" s="341"/>
      <c r="B846" s="341"/>
      <c r="C846" s="341"/>
      <c r="D846" s="341"/>
      <c r="E846" s="341"/>
      <c r="F846" s="341"/>
      <c r="G846" s="341"/>
      <c r="H846" s="341"/>
      <c r="I846" s="341"/>
      <c r="J846" s="341"/>
      <c r="K846" s="341"/>
      <c r="L846" s="341"/>
      <c r="M846" s="341"/>
      <c r="N846" s="341"/>
      <c r="O846" s="341"/>
      <c r="P846" s="341"/>
      <c r="Q846" s="341"/>
      <c r="R846" s="341"/>
      <c r="S846" s="341"/>
      <c r="T846" s="341"/>
      <c r="U846" s="341"/>
      <c r="V846" s="341"/>
      <c r="W846" s="341"/>
      <c r="X846" s="341"/>
      <c r="Y846" s="341"/>
      <c r="Z846" s="341"/>
      <c r="AA846" s="341"/>
      <c r="AB846" s="341"/>
      <c r="AC846" s="341"/>
      <c r="AD846" s="341"/>
      <c r="AE846" s="341"/>
    </row>
    <row r="847" ht="12.0" customHeight="1">
      <c r="A847" s="341"/>
      <c r="B847" s="341"/>
      <c r="C847" s="341"/>
      <c r="D847" s="341"/>
      <c r="E847" s="341"/>
      <c r="F847" s="341"/>
      <c r="G847" s="341"/>
      <c r="H847" s="341"/>
      <c r="I847" s="341"/>
      <c r="J847" s="341"/>
      <c r="K847" s="341"/>
      <c r="L847" s="341"/>
      <c r="M847" s="341"/>
      <c r="N847" s="341"/>
      <c r="O847" s="341"/>
      <c r="P847" s="341"/>
      <c r="Q847" s="341"/>
      <c r="R847" s="341"/>
      <c r="S847" s="341"/>
      <c r="T847" s="341"/>
      <c r="U847" s="341"/>
      <c r="V847" s="341"/>
      <c r="W847" s="341"/>
      <c r="X847" s="341"/>
      <c r="Y847" s="341"/>
      <c r="Z847" s="341"/>
      <c r="AA847" s="341"/>
      <c r="AB847" s="341"/>
      <c r="AC847" s="341"/>
      <c r="AD847" s="341"/>
      <c r="AE847" s="341"/>
    </row>
    <row r="848" ht="12.0" customHeight="1">
      <c r="A848" s="341"/>
      <c r="B848" s="341"/>
      <c r="C848" s="341"/>
      <c r="D848" s="341"/>
      <c r="E848" s="341"/>
      <c r="F848" s="341"/>
      <c r="G848" s="341"/>
      <c r="H848" s="341"/>
      <c r="I848" s="341"/>
      <c r="J848" s="341"/>
      <c r="K848" s="341"/>
      <c r="L848" s="341"/>
      <c r="M848" s="341"/>
      <c r="N848" s="341"/>
      <c r="O848" s="341"/>
      <c r="P848" s="341"/>
      <c r="Q848" s="341"/>
      <c r="R848" s="341"/>
      <c r="S848" s="341"/>
      <c r="T848" s="341"/>
      <c r="U848" s="341"/>
      <c r="V848" s="341"/>
      <c r="W848" s="341"/>
      <c r="X848" s="341"/>
      <c r="Y848" s="341"/>
      <c r="Z848" s="341"/>
      <c r="AA848" s="341"/>
      <c r="AB848" s="341"/>
      <c r="AC848" s="341"/>
      <c r="AD848" s="341"/>
      <c r="AE848" s="341"/>
    </row>
    <row r="849" ht="12.0" customHeight="1">
      <c r="A849" s="341"/>
      <c r="B849" s="341"/>
      <c r="C849" s="341"/>
      <c r="D849" s="341"/>
      <c r="E849" s="341"/>
      <c r="F849" s="341"/>
      <c r="G849" s="341"/>
      <c r="H849" s="341"/>
      <c r="I849" s="341"/>
      <c r="J849" s="341"/>
      <c r="K849" s="341"/>
      <c r="L849" s="341"/>
      <c r="M849" s="341"/>
      <c r="N849" s="341"/>
      <c r="O849" s="341"/>
      <c r="P849" s="341"/>
      <c r="Q849" s="341"/>
      <c r="R849" s="341"/>
      <c r="S849" s="341"/>
      <c r="T849" s="341"/>
      <c r="U849" s="341"/>
      <c r="V849" s="341"/>
      <c r="W849" s="341"/>
      <c r="X849" s="341"/>
      <c r="Y849" s="341"/>
      <c r="Z849" s="341"/>
      <c r="AA849" s="341"/>
      <c r="AB849" s="341"/>
      <c r="AC849" s="341"/>
      <c r="AD849" s="341"/>
      <c r="AE849" s="341"/>
    </row>
    <row r="850" ht="12.0" customHeight="1">
      <c r="A850" s="341"/>
      <c r="B850" s="341"/>
      <c r="C850" s="341"/>
      <c r="D850" s="341"/>
      <c r="E850" s="341"/>
      <c r="F850" s="341"/>
      <c r="G850" s="341"/>
      <c r="H850" s="341"/>
      <c r="I850" s="341"/>
      <c r="J850" s="341"/>
      <c r="K850" s="341"/>
      <c r="L850" s="341"/>
      <c r="M850" s="341"/>
      <c r="N850" s="341"/>
      <c r="O850" s="341"/>
      <c r="P850" s="341"/>
      <c r="Q850" s="341"/>
      <c r="R850" s="341"/>
      <c r="S850" s="341"/>
      <c r="T850" s="341"/>
      <c r="U850" s="341"/>
      <c r="V850" s="341"/>
      <c r="W850" s="341"/>
      <c r="X850" s="341"/>
      <c r="Y850" s="341"/>
      <c r="Z850" s="341"/>
      <c r="AA850" s="341"/>
      <c r="AB850" s="341"/>
      <c r="AC850" s="341"/>
      <c r="AD850" s="341"/>
      <c r="AE850" s="341"/>
    </row>
    <row r="851" ht="12.0" customHeight="1">
      <c r="A851" s="341"/>
      <c r="B851" s="341"/>
      <c r="C851" s="341"/>
      <c r="D851" s="341"/>
      <c r="E851" s="341"/>
      <c r="F851" s="341"/>
      <c r="G851" s="341"/>
      <c r="H851" s="341"/>
      <c r="I851" s="341"/>
      <c r="J851" s="341"/>
      <c r="K851" s="341"/>
      <c r="L851" s="341"/>
      <c r="M851" s="341"/>
      <c r="N851" s="341"/>
      <c r="O851" s="341"/>
      <c r="P851" s="341"/>
      <c r="Q851" s="341"/>
      <c r="R851" s="341"/>
      <c r="S851" s="341"/>
      <c r="T851" s="341"/>
      <c r="U851" s="341"/>
      <c r="V851" s="341"/>
      <c r="W851" s="341"/>
      <c r="X851" s="341"/>
      <c r="Y851" s="341"/>
      <c r="Z851" s="341"/>
      <c r="AA851" s="341"/>
      <c r="AB851" s="341"/>
      <c r="AC851" s="341"/>
      <c r="AD851" s="341"/>
      <c r="AE851" s="341"/>
    </row>
    <row r="852" ht="12.0" customHeight="1">
      <c r="A852" s="341"/>
      <c r="B852" s="341"/>
      <c r="C852" s="341"/>
      <c r="D852" s="341"/>
      <c r="E852" s="341"/>
      <c r="F852" s="341"/>
      <c r="G852" s="341"/>
      <c r="H852" s="341"/>
      <c r="I852" s="341"/>
      <c r="J852" s="341"/>
      <c r="K852" s="341"/>
      <c r="L852" s="341"/>
      <c r="M852" s="341"/>
      <c r="N852" s="341"/>
      <c r="O852" s="341"/>
      <c r="P852" s="341"/>
      <c r="Q852" s="341"/>
      <c r="R852" s="341"/>
      <c r="S852" s="341"/>
      <c r="T852" s="341"/>
      <c r="U852" s="341"/>
      <c r="V852" s="341"/>
      <c r="W852" s="341"/>
      <c r="X852" s="341"/>
      <c r="Y852" s="341"/>
      <c r="Z852" s="341"/>
      <c r="AA852" s="341"/>
      <c r="AB852" s="341"/>
      <c r="AC852" s="341"/>
      <c r="AD852" s="341"/>
      <c r="AE852" s="341"/>
    </row>
    <row r="853" ht="12.0" customHeight="1">
      <c r="A853" s="341"/>
      <c r="B853" s="341"/>
      <c r="C853" s="341"/>
      <c r="D853" s="341"/>
      <c r="E853" s="341"/>
      <c r="F853" s="341"/>
      <c r="G853" s="341"/>
      <c r="H853" s="341"/>
      <c r="I853" s="341"/>
      <c r="J853" s="341"/>
      <c r="K853" s="341"/>
      <c r="L853" s="341"/>
      <c r="M853" s="341"/>
      <c r="N853" s="341"/>
      <c r="O853" s="341"/>
      <c r="P853" s="341"/>
      <c r="Q853" s="341"/>
      <c r="R853" s="341"/>
      <c r="S853" s="341"/>
      <c r="T853" s="341"/>
      <c r="U853" s="341"/>
      <c r="V853" s="341"/>
      <c r="W853" s="341"/>
      <c r="X853" s="341"/>
      <c r="Y853" s="341"/>
      <c r="Z853" s="341"/>
      <c r="AA853" s="341"/>
      <c r="AB853" s="341"/>
      <c r="AC853" s="341"/>
      <c r="AD853" s="341"/>
      <c r="AE853" s="341"/>
    </row>
    <row r="854" ht="12.0" customHeight="1">
      <c r="A854" s="341"/>
      <c r="B854" s="341"/>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c r="AA854" s="341"/>
      <c r="AB854" s="341"/>
      <c r="AC854" s="341"/>
      <c r="AD854" s="341"/>
      <c r="AE854" s="341"/>
    </row>
    <row r="855" ht="12.0" customHeight="1">
      <c r="A855" s="341"/>
      <c r="B855" s="341"/>
      <c r="C855" s="341"/>
      <c r="D855" s="341"/>
      <c r="E855" s="341"/>
      <c r="F855" s="341"/>
      <c r="G855" s="341"/>
      <c r="H855" s="341"/>
      <c r="I855" s="341"/>
      <c r="J855" s="341"/>
      <c r="K855" s="341"/>
      <c r="L855" s="341"/>
      <c r="M855" s="341"/>
      <c r="N855" s="341"/>
      <c r="O855" s="341"/>
      <c r="P855" s="341"/>
      <c r="Q855" s="341"/>
      <c r="R855" s="341"/>
      <c r="S855" s="341"/>
      <c r="T855" s="341"/>
      <c r="U855" s="341"/>
      <c r="V855" s="341"/>
      <c r="W855" s="341"/>
      <c r="X855" s="341"/>
      <c r="Y855" s="341"/>
      <c r="Z855" s="341"/>
      <c r="AA855" s="341"/>
      <c r="AB855" s="341"/>
      <c r="AC855" s="341"/>
      <c r="AD855" s="341"/>
      <c r="AE855" s="341"/>
    </row>
    <row r="856" ht="12.0" customHeight="1">
      <c r="A856" s="341"/>
      <c r="B856" s="341"/>
      <c r="C856" s="341"/>
      <c r="D856" s="341"/>
      <c r="E856" s="341"/>
      <c r="F856" s="341"/>
      <c r="G856" s="341"/>
      <c r="H856" s="341"/>
      <c r="I856" s="341"/>
      <c r="J856" s="341"/>
      <c r="K856" s="341"/>
      <c r="L856" s="341"/>
      <c r="M856" s="341"/>
      <c r="N856" s="341"/>
      <c r="O856" s="341"/>
      <c r="P856" s="341"/>
      <c r="Q856" s="341"/>
      <c r="R856" s="341"/>
      <c r="S856" s="341"/>
      <c r="T856" s="341"/>
      <c r="U856" s="341"/>
      <c r="V856" s="341"/>
      <c r="W856" s="341"/>
      <c r="X856" s="341"/>
      <c r="Y856" s="341"/>
      <c r="Z856" s="341"/>
      <c r="AA856" s="341"/>
      <c r="AB856" s="341"/>
      <c r="AC856" s="341"/>
      <c r="AD856" s="341"/>
      <c r="AE856" s="341"/>
    </row>
    <row r="857" ht="12.0" customHeight="1">
      <c r="A857" s="341"/>
      <c r="B857" s="341"/>
      <c r="C857" s="341"/>
      <c r="D857" s="341"/>
      <c r="E857" s="341"/>
      <c r="F857" s="341"/>
      <c r="G857" s="341"/>
      <c r="H857" s="341"/>
      <c r="I857" s="341"/>
      <c r="J857" s="341"/>
      <c r="K857" s="341"/>
      <c r="L857" s="341"/>
      <c r="M857" s="341"/>
      <c r="N857" s="341"/>
      <c r="O857" s="341"/>
      <c r="P857" s="341"/>
      <c r="Q857" s="341"/>
      <c r="R857" s="341"/>
      <c r="S857" s="341"/>
      <c r="T857" s="341"/>
      <c r="U857" s="341"/>
      <c r="V857" s="341"/>
      <c r="W857" s="341"/>
      <c r="X857" s="341"/>
      <c r="Y857" s="341"/>
      <c r="Z857" s="341"/>
      <c r="AA857" s="341"/>
      <c r="AB857" s="341"/>
      <c r="AC857" s="341"/>
      <c r="AD857" s="341"/>
      <c r="AE857" s="341"/>
    </row>
    <row r="858" ht="12.0" customHeight="1">
      <c r="A858" s="341"/>
      <c r="B858" s="341"/>
      <c r="C858" s="341"/>
      <c r="D858" s="341"/>
      <c r="E858" s="341"/>
      <c r="F858" s="341"/>
      <c r="G858" s="341"/>
      <c r="H858" s="341"/>
      <c r="I858" s="341"/>
      <c r="J858" s="341"/>
      <c r="K858" s="341"/>
      <c r="L858" s="341"/>
      <c r="M858" s="341"/>
      <c r="N858" s="341"/>
      <c r="O858" s="341"/>
      <c r="P858" s="341"/>
      <c r="Q858" s="341"/>
      <c r="R858" s="341"/>
      <c r="S858" s="341"/>
      <c r="T858" s="341"/>
      <c r="U858" s="341"/>
      <c r="V858" s="341"/>
      <c r="W858" s="341"/>
      <c r="X858" s="341"/>
      <c r="Y858" s="341"/>
      <c r="Z858" s="341"/>
      <c r="AA858" s="341"/>
      <c r="AB858" s="341"/>
      <c r="AC858" s="341"/>
      <c r="AD858" s="341"/>
      <c r="AE858" s="341"/>
    </row>
    <row r="859" ht="12.0" customHeight="1">
      <c r="A859" s="341"/>
      <c r="B859" s="341"/>
      <c r="C859" s="341"/>
      <c r="D859" s="341"/>
      <c r="E859" s="341"/>
      <c r="F859" s="341"/>
      <c r="G859" s="341"/>
      <c r="H859" s="341"/>
      <c r="I859" s="341"/>
      <c r="J859" s="341"/>
      <c r="K859" s="341"/>
      <c r="L859" s="341"/>
      <c r="M859" s="341"/>
      <c r="N859" s="341"/>
      <c r="O859" s="341"/>
      <c r="P859" s="341"/>
      <c r="Q859" s="341"/>
      <c r="R859" s="341"/>
      <c r="S859" s="341"/>
      <c r="T859" s="341"/>
      <c r="U859" s="341"/>
      <c r="V859" s="341"/>
      <c r="W859" s="341"/>
      <c r="X859" s="341"/>
      <c r="Y859" s="341"/>
      <c r="Z859" s="341"/>
      <c r="AA859" s="341"/>
      <c r="AB859" s="341"/>
      <c r="AC859" s="341"/>
      <c r="AD859" s="341"/>
      <c r="AE859" s="341"/>
    </row>
    <row r="860" ht="12.0" customHeight="1">
      <c r="A860" s="341"/>
      <c r="B860" s="341"/>
      <c r="C860" s="341"/>
      <c r="D860" s="341"/>
      <c r="E860" s="341"/>
      <c r="F860" s="341"/>
      <c r="G860" s="341"/>
      <c r="H860" s="341"/>
      <c r="I860" s="341"/>
      <c r="J860" s="341"/>
      <c r="K860" s="341"/>
      <c r="L860" s="341"/>
      <c r="M860" s="341"/>
      <c r="N860" s="341"/>
      <c r="O860" s="341"/>
      <c r="P860" s="341"/>
      <c r="Q860" s="341"/>
      <c r="R860" s="341"/>
      <c r="S860" s="341"/>
      <c r="T860" s="341"/>
      <c r="U860" s="341"/>
      <c r="V860" s="341"/>
      <c r="W860" s="341"/>
      <c r="X860" s="341"/>
      <c r="Y860" s="341"/>
      <c r="Z860" s="341"/>
      <c r="AA860" s="341"/>
      <c r="AB860" s="341"/>
      <c r="AC860" s="341"/>
      <c r="AD860" s="341"/>
      <c r="AE860" s="341"/>
    </row>
    <row r="861" ht="12.0" customHeight="1">
      <c r="A861" s="341"/>
      <c r="B861" s="341"/>
      <c r="C861" s="341"/>
      <c r="D861" s="341"/>
      <c r="E861" s="341"/>
      <c r="F861" s="341"/>
      <c r="G861" s="341"/>
      <c r="H861" s="341"/>
      <c r="I861" s="341"/>
      <c r="J861" s="341"/>
      <c r="K861" s="341"/>
      <c r="L861" s="341"/>
      <c r="M861" s="341"/>
      <c r="N861" s="341"/>
      <c r="O861" s="341"/>
      <c r="P861" s="341"/>
      <c r="Q861" s="341"/>
      <c r="R861" s="341"/>
      <c r="S861" s="341"/>
      <c r="T861" s="341"/>
      <c r="U861" s="341"/>
      <c r="V861" s="341"/>
      <c r="W861" s="341"/>
      <c r="X861" s="341"/>
      <c r="Y861" s="341"/>
      <c r="Z861" s="341"/>
      <c r="AA861" s="341"/>
      <c r="AB861" s="341"/>
      <c r="AC861" s="341"/>
      <c r="AD861" s="341"/>
      <c r="AE861" s="341"/>
    </row>
    <row r="862" ht="12.0" customHeight="1">
      <c r="A862" s="341"/>
      <c r="B862" s="341"/>
      <c r="C862" s="341"/>
      <c r="D862" s="341"/>
      <c r="E862" s="341"/>
      <c r="F862" s="341"/>
      <c r="G862" s="341"/>
      <c r="H862" s="341"/>
      <c r="I862" s="341"/>
      <c r="J862" s="341"/>
      <c r="K862" s="341"/>
      <c r="L862" s="341"/>
      <c r="M862" s="341"/>
      <c r="N862" s="341"/>
      <c r="O862" s="341"/>
      <c r="P862" s="341"/>
      <c r="Q862" s="341"/>
      <c r="R862" s="341"/>
      <c r="S862" s="341"/>
      <c r="T862" s="341"/>
      <c r="U862" s="341"/>
      <c r="V862" s="341"/>
      <c r="W862" s="341"/>
      <c r="X862" s="341"/>
      <c r="Y862" s="341"/>
      <c r="Z862" s="341"/>
      <c r="AA862" s="341"/>
      <c r="AB862" s="341"/>
      <c r="AC862" s="341"/>
      <c r="AD862" s="341"/>
      <c r="AE862" s="341"/>
    </row>
    <row r="863" ht="12.0" customHeight="1">
      <c r="A863" s="341"/>
      <c r="B863" s="341"/>
      <c r="C863" s="341"/>
      <c r="D863" s="341"/>
      <c r="E863" s="341"/>
      <c r="F863" s="341"/>
      <c r="G863" s="341"/>
      <c r="H863" s="341"/>
      <c r="I863" s="341"/>
      <c r="J863" s="341"/>
      <c r="K863" s="341"/>
      <c r="L863" s="341"/>
      <c r="M863" s="341"/>
      <c r="N863" s="341"/>
      <c r="O863" s="341"/>
      <c r="P863" s="341"/>
      <c r="Q863" s="341"/>
      <c r="R863" s="341"/>
      <c r="S863" s="341"/>
      <c r="T863" s="341"/>
      <c r="U863" s="341"/>
      <c r="V863" s="341"/>
      <c r="W863" s="341"/>
      <c r="X863" s="341"/>
      <c r="Y863" s="341"/>
      <c r="Z863" s="341"/>
      <c r="AA863" s="341"/>
      <c r="AB863" s="341"/>
      <c r="AC863" s="341"/>
      <c r="AD863" s="341"/>
      <c r="AE863" s="341"/>
    </row>
    <row r="864" ht="12.0" customHeight="1">
      <c r="A864" s="341"/>
      <c r="B864" s="341"/>
      <c r="C864" s="341"/>
      <c r="D864" s="341"/>
      <c r="E864" s="341"/>
      <c r="F864" s="341"/>
      <c r="G864" s="341"/>
      <c r="H864" s="341"/>
      <c r="I864" s="341"/>
      <c r="J864" s="341"/>
      <c r="K864" s="341"/>
      <c r="L864" s="341"/>
      <c r="M864" s="341"/>
      <c r="N864" s="341"/>
      <c r="O864" s="341"/>
      <c r="P864" s="341"/>
      <c r="Q864" s="341"/>
      <c r="R864" s="341"/>
      <c r="S864" s="341"/>
      <c r="T864" s="341"/>
      <c r="U864" s="341"/>
      <c r="V864" s="341"/>
      <c r="W864" s="341"/>
      <c r="X864" s="341"/>
      <c r="Y864" s="341"/>
      <c r="Z864" s="341"/>
      <c r="AA864" s="341"/>
      <c r="AB864" s="341"/>
      <c r="AC864" s="341"/>
      <c r="AD864" s="341"/>
      <c r="AE864" s="341"/>
    </row>
    <row r="865" ht="12.0" customHeight="1">
      <c r="A865" s="341"/>
      <c r="B865" s="341"/>
      <c r="C865" s="341"/>
      <c r="D865" s="341"/>
      <c r="E865" s="341"/>
      <c r="F865" s="341"/>
      <c r="G865" s="341"/>
      <c r="H865" s="341"/>
      <c r="I865" s="341"/>
      <c r="J865" s="341"/>
      <c r="K865" s="341"/>
      <c r="L865" s="341"/>
      <c r="M865" s="341"/>
      <c r="N865" s="341"/>
      <c r="O865" s="341"/>
      <c r="P865" s="341"/>
      <c r="Q865" s="341"/>
      <c r="R865" s="341"/>
      <c r="S865" s="341"/>
      <c r="T865" s="341"/>
      <c r="U865" s="341"/>
      <c r="V865" s="341"/>
      <c r="W865" s="341"/>
      <c r="X865" s="341"/>
      <c r="Y865" s="341"/>
      <c r="Z865" s="341"/>
      <c r="AA865" s="341"/>
      <c r="AB865" s="341"/>
      <c r="AC865" s="341"/>
      <c r="AD865" s="341"/>
      <c r="AE865" s="341"/>
    </row>
    <row r="866" ht="12.0" customHeight="1">
      <c r="A866" s="341"/>
      <c r="B866" s="341"/>
      <c r="C866" s="341"/>
      <c r="D866" s="341"/>
      <c r="E866" s="341"/>
      <c r="F866" s="341"/>
      <c r="G866" s="341"/>
      <c r="H866" s="341"/>
      <c r="I866" s="341"/>
      <c r="J866" s="341"/>
      <c r="K866" s="341"/>
      <c r="L866" s="341"/>
      <c r="M866" s="341"/>
      <c r="N866" s="341"/>
      <c r="O866" s="341"/>
      <c r="P866" s="341"/>
      <c r="Q866" s="341"/>
      <c r="R866" s="341"/>
      <c r="S866" s="341"/>
      <c r="T866" s="341"/>
      <c r="U866" s="341"/>
      <c r="V866" s="341"/>
      <c r="W866" s="341"/>
      <c r="X866" s="341"/>
      <c r="Y866" s="341"/>
      <c r="Z866" s="341"/>
      <c r="AA866" s="341"/>
      <c r="AB866" s="341"/>
      <c r="AC866" s="341"/>
      <c r="AD866" s="341"/>
      <c r="AE866" s="341"/>
    </row>
    <row r="867" ht="12.0" customHeight="1">
      <c r="A867" s="341"/>
      <c r="B867" s="341"/>
      <c r="C867" s="341"/>
      <c r="D867" s="341"/>
      <c r="E867" s="341"/>
      <c r="F867" s="341"/>
      <c r="G867" s="341"/>
      <c r="H867" s="341"/>
      <c r="I867" s="341"/>
      <c r="J867" s="341"/>
      <c r="K867" s="341"/>
      <c r="L867" s="341"/>
      <c r="M867" s="341"/>
      <c r="N867" s="341"/>
      <c r="O867" s="341"/>
      <c r="P867" s="341"/>
      <c r="Q867" s="341"/>
      <c r="R867" s="341"/>
      <c r="S867" s="341"/>
      <c r="T867" s="341"/>
      <c r="U867" s="341"/>
      <c r="V867" s="341"/>
      <c r="W867" s="341"/>
      <c r="X867" s="341"/>
      <c r="Y867" s="341"/>
      <c r="Z867" s="341"/>
      <c r="AA867" s="341"/>
      <c r="AB867" s="341"/>
      <c r="AC867" s="341"/>
      <c r="AD867" s="341"/>
      <c r="AE867" s="341"/>
    </row>
    <row r="868" ht="12.0" customHeight="1">
      <c r="A868" s="341"/>
      <c r="B868" s="341"/>
      <c r="C868" s="341"/>
      <c r="D868" s="341"/>
      <c r="E868" s="341"/>
      <c r="F868" s="341"/>
      <c r="G868" s="341"/>
      <c r="H868" s="341"/>
      <c r="I868" s="341"/>
      <c r="J868" s="341"/>
      <c r="K868" s="341"/>
      <c r="L868" s="341"/>
      <c r="M868" s="341"/>
      <c r="N868" s="341"/>
      <c r="O868" s="341"/>
      <c r="P868" s="341"/>
      <c r="Q868" s="341"/>
      <c r="R868" s="341"/>
      <c r="S868" s="341"/>
      <c r="T868" s="341"/>
      <c r="U868" s="341"/>
      <c r="V868" s="341"/>
      <c r="W868" s="341"/>
      <c r="X868" s="341"/>
      <c r="Y868" s="341"/>
      <c r="Z868" s="341"/>
      <c r="AA868" s="341"/>
      <c r="AB868" s="341"/>
      <c r="AC868" s="341"/>
      <c r="AD868" s="341"/>
      <c r="AE868" s="341"/>
    </row>
    <row r="869" ht="12.0" customHeight="1">
      <c r="A869" s="341"/>
      <c r="B869" s="341"/>
      <c r="C869" s="341"/>
      <c r="D869" s="341"/>
      <c r="E869" s="341"/>
      <c r="F869" s="341"/>
      <c r="G869" s="341"/>
      <c r="H869" s="341"/>
      <c r="I869" s="341"/>
      <c r="J869" s="341"/>
      <c r="K869" s="341"/>
      <c r="L869" s="341"/>
      <c r="M869" s="341"/>
      <c r="N869" s="341"/>
      <c r="O869" s="341"/>
      <c r="P869" s="341"/>
      <c r="Q869" s="341"/>
      <c r="R869" s="341"/>
      <c r="S869" s="341"/>
      <c r="T869" s="341"/>
      <c r="U869" s="341"/>
      <c r="V869" s="341"/>
      <c r="W869" s="341"/>
      <c r="X869" s="341"/>
      <c r="Y869" s="341"/>
      <c r="Z869" s="341"/>
      <c r="AA869" s="341"/>
      <c r="AB869" s="341"/>
      <c r="AC869" s="341"/>
      <c r="AD869" s="341"/>
      <c r="AE869" s="341"/>
    </row>
    <row r="870" ht="12.0" customHeight="1">
      <c r="A870" s="341"/>
      <c r="B870" s="341"/>
      <c r="C870" s="341"/>
      <c r="D870" s="341"/>
      <c r="E870" s="341"/>
      <c r="F870" s="341"/>
      <c r="G870" s="341"/>
      <c r="H870" s="341"/>
      <c r="I870" s="341"/>
      <c r="J870" s="341"/>
      <c r="K870" s="341"/>
      <c r="L870" s="341"/>
      <c r="M870" s="341"/>
      <c r="N870" s="341"/>
      <c r="O870" s="341"/>
      <c r="P870" s="341"/>
      <c r="Q870" s="341"/>
      <c r="R870" s="341"/>
      <c r="S870" s="341"/>
      <c r="T870" s="341"/>
      <c r="U870" s="341"/>
      <c r="V870" s="341"/>
      <c r="W870" s="341"/>
      <c r="X870" s="341"/>
      <c r="Y870" s="341"/>
      <c r="Z870" s="341"/>
      <c r="AA870" s="341"/>
      <c r="AB870" s="341"/>
      <c r="AC870" s="341"/>
      <c r="AD870" s="341"/>
      <c r="AE870" s="341"/>
    </row>
    <row r="871" ht="12.0" customHeight="1">
      <c r="A871" s="341"/>
      <c r="B871" s="341"/>
      <c r="C871" s="341"/>
      <c r="D871" s="341"/>
      <c r="E871" s="341"/>
      <c r="F871" s="341"/>
      <c r="G871" s="341"/>
      <c r="H871" s="341"/>
      <c r="I871" s="341"/>
      <c r="J871" s="341"/>
      <c r="K871" s="341"/>
      <c r="L871" s="341"/>
      <c r="M871" s="341"/>
      <c r="N871" s="341"/>
      <c r="O871" s="341"/>
      <c r="P871" s="341"/>
      <c r="Q871" s="341"/>
      <c r="R871" s="341"/>
      <c r="S871" s="341"/>
      <c r="T871" s="341"/>
      <c r="U871" s="341"/>
      <c r="V871" s="341"/>
      <c r="W871" s="341"/>
      <c r="X871" s="341"/>
      <c r="Y871" s="341"/>
      <c r="Z871" s="341"/>
      <c r="AA871" s="341"/>
      <c r="AB871" s="341"/>
      <c r="AC871" s="341"/>
      <c r="AD871" s="341"/>
      <c r="AE871" s="341"/>
    </row>
    <row r="872" ht="12.0" customHeight="1">
      <c r="A872" s="341"/>
      <c r="B872" s="341"/>
      <c r="C872" s="341"/>
      <c r="D872" s="341"/>
      <c r="E872" s="341"/>
      <c r="F872" s="341"/>
      <c r="G872" s="341"/>
      <c r="H872" s="341"/>
      <c r="I872" s="341"/>
      <c r="J872" s="341"/>
      <c r="K872" s="341"/>
      <c r="L872" s="341"/>
      <c r="M872" s="341"/>
      <c r="N872" s="341"/>
      <c r="O872" s="341"/>
      <c r="P872" s="341"/>
      <c r="Q872" s="341"/>
      <c r="R872" s="341"/>
      <c r="S872" s="341"/>
      <c r="T872" s="341"/>
      <c r="U872" s="341"/>
      <c r="V872" s="341"/>
      <c r="W872" s="341"/>
      <c r="X872" s="341"/>
      <c r="Y872" s="341"/>
      <c r="Z872" s="341"/>
      <c r="AA872" s="341"/>
      <c r="AB872" s="341"/>
      <c r="AC872" s="341"/>
      <c r="AD872" s="341"/>
      <c r="AE872" s="341"/>
    </row>
    <row r="873" ht="12.0" customHeight="1">
      <c r="A873" s="341"/>
      <c r="B873" s="341"/>
      <c r="C873" s="341"/>
      <c r="D873" s="341"/>
      <c r="E873" s="341"/>
      <c r="F873" s="341"/>
      <c r="G873" s="341"/>
      <c r="H873" s="341"/>
      <c r="I873" s="341"/>
      <c r="J873" s="341"/>
      <c r="K873" s="341"/>
      <c r="L873" s="341"/>
      <c r="M873" s="341"/>
      <c r="N873" s="341"/>
      <c r="O873" s="341"/>
      <c r="P873" s="341"/>
      <c r="Q873" s="341"/>
      <c r="R873" s="341"/>
      <c r="S873" s="341"/>
      <c r="T873" s="341"/>
      <c r="U873" s="341"/>
      <c r="V873" s="341"/>
      <c r="W873" s="341"/>
      <c r="X873" s="341"/>
      <c r="Y873" s="341"/>
      <c r="Z873" s="341"/>
      <c r="AA873" s="341"/>
      <c r="AB873" s="341"/>
      <c r="AC873" s="341"/>
      <c r="AD873" s="341"/>
      <c r="AE873" s="341"/>
    </row>
    <row r="874" ht="12.0" customHeight="1">
      <c r="A874" s="341"/>
      <c r="B874" s="341"/>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c r="AA874" s="341"/>
      <c r="AB874" s="341"/>
      <c r="AC874" s="341"/>
      <c r="AD874" s="341"/>
      <c r="AE874" s="341"/>
    </row>
    <row r="875" ht="12.0" customHeight="1">
      <c r="A875" s="341"/>
      <c r="B875" s="341"/>
      <c r="C875" s="341"/>
      <c r="D875" s="341"/>
      <c r="E875" s="341"/>
      <c r="F875" s="341"/>
      <c r="G875" s="341"/>
      <c r="H875" s="341"/>
      <c r="I875" s="341"/>
      <c r="J875" s="341"/>
      <c r="K875" s="341"/>
      <c r="L875" s="341"/>
      <c r="M875" s="341"/>
      <c r="N875" s="341"/>
      <c r="O875" s="341"/>
      <c r="P875" s="341"/>
      <c r="Q875" s="341"/>
      <c r="R875" s="341"/>
      <c r="S875" s="341"/>
      <c r="T875" s="341"/>
      <c r="U875" s="341"/>
      <c r="V875" s="341"/>
      <c r="W875" s="341"/>
      <c r="X875" s="341"/>
      <c r="Y875" s="341"/>
      <c r="Z875" s="341"/>
      <c r="AA875" s="341"/>
      <c r="AB875" s="341"/>
      <c r="AC875" s="341"/>
      <c r="AD875" s="341"/>
      <c r="AE875" s="341"/>
    </row>
    <row r="876" ht="12.0" customHeight="1">
      <c r="A876" s="341"/>
      <c r="B876" s="341"/>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c r="AA876" s="341"/>
      <c r="AB876" s="341"/>
      <c r="AC876" s="341"/>
      <c r="AD876" s="341"/>
      <c r="AE876" s="341"/>
    </row>
    <row r="877" ht="12.0" customHeight="1">
      <c r="A877" s="341"/>
      <c r="B877" s="341"/>
      <c r="C877" s="341"/>
      <c r="D877" s="341"/>
      <c r="E877" s="341"/>
      <c r="F877" s="341"/>
      <c r="G877" s="341"/>
      <c r="H877" s="341"/>
      <c r="I877" s="341"/>
      <c r="J877" s="341"/>
      <c r="K877" s="341"/>
      <c r="L877" s="341"/>
      <c r="M877" s="341"/>
      <c r="N877" s="341"/>
      <c r="O877" s="341"/>
      <c r="P877" s="341"/>
      <c r="Q877" s="341"/>
      <c r="R877" s="341"/>
      <c r="S877" s="341"/>
      <c r="T877" s="341"/>
      <c r="U877" s="341"/>
      <c r="V877" s="341"/>
      <c r="W877" s="341"/>
      <c r="X877" s="341"/>
      <c r="Y877" s="341"/>
      <c r="Z877" s="341"/>
      <c r="AA877" s="341"/>
      <c r="AB877" s="341"/>
      <c r="AC877" s="341"/>
      <c r="AD877" s="341"/>
      <c r="AE877" s="341"/>
    </row>
    <row r="878" ht="12.0" customHeight="1">
      <c r="A878" s="341"/>
      <c r="B878" s="341"/>
      <c r="C878" s="341"/>
      <c r="D878" s="341"/>
      <c r="E878" s="341"/>
      <c r="F878" s="341"/>
      <c r="G878" s="341"/>
      <c r="H878" s="341"/>
      <c r="I878" s="341"/>
      <c r="J878" s="341"/>
      <c r="K878" s="341"/>
      <c r="L878" s="341"/>
      <c r="M878" s="341"/>
      <c r="N878" s="341"/>
      <c r="O878" s="341"/>
      <c r="P878" s="341"/>
      <c r="Q878" s="341"/>
      <c r="R878" s="341"/>
      <c r="S878" s="341"/>
      <c r="T878" s="341"/>
      <c r="U878" s="341"/>
      <c r="V878" s="341"/>
      <c r="W878" s="341"/>
      <c r="X878" s="341"/>
      <c r="Y878" s="341"/>
      <c r="Z878" s="341"/>
      <c r="AA878" s="341"/>
      <c r="AB878" s="341"/>
      <c r="AC878" s="341"/>
      <c r="AD878" s="341"/>
      <c r="AE878" s="341"/>
    </row>
    <row r="879" ht="12.0" customHeight="1">
      <c r="A879" s="341"/>
      <c r="B879" s="341"/>
      <c r="C879" s="341"/>
      <c r="D879" s="341"/>
      <c r="E879" s="341"/>
      <c r="F879" s="341"/>
      <c r="G879" s="341"/>
      <c r="H879" s="341"/>
      <c r="I879" s="341"/>
      <c r="J879" s="341"/>
      <c r="K879" s="341"/>
      <c r="L879" s="341"/>
      <c r="M879" s="341"/>
      <c r="N879" s="341"/>
      <c r="O879" s="341"/>
      <c r="P879" s="341"/>
      <c r="Q879" s="341"/>
      <c r="R879" s="341"/>
      <c r="S879" s="341"/>
      <c r="T879" s="341"/>
      <c r="U879" s="341"/>
      <c r="V879" s="341"/>
      <c r="W879" s="341"/>
      <c r="X879" s="341"/>
      <c r="Y879" s="341"/>
      <c r="Z879" s="341"/>
      <c r="AA879" s="341"/>
      <c r="AB879" s="341"/>
      <c r="AC879" s="341"/>
      <c r="AD879" s="341"/>
      <c r="AE879" s="341"/>
    </row>
    <row r="880" ht="12.0" customHeight="1">
      <c r="A880" s="341"/>
      <c r="B880" s="341"/>
      <c r="C880" s="341"/>
      <c r="D880" s="341"/>
      <c r="E880" s="341"/>
      <c r="F880" s="341"/>
      <c r="G880" s="341"/>
      <c r="H880" s="341"/>
      <c r="I880" s="341"/>
      <c r="J880" s="341"/>
      <c r="K880" s="341"/>
      <c r="L880" s="341"/>
      <c r="M880" s="341"/>
      <c r="N880" s="341"/>
      <c r="O880" s="341"/>
      <c r="P880" s="341"/>
      <c r="Q880" s="341"/>
      <c r="R880" s="341"/>
      <c r="S880" s="341"/>
      <c r="T880" s="341"/>
      <c r="U880" s="341"/>
      <c r="V880" s="341"/>
      <c r="W880" s="341"/>
      <c r="X880" s="341"/>
      <c r="Y880" s="341"/>
      <c r="Z880" s="341"/>
      <c r="AA880" s="341"/>
      <c r="AB880" s="341"/>
      <c r="AC880" s="341"/>
      <c r="AD880" s="341"/>
      <c r="AE880" s="341"/>
    </row>
    <row r="881" ht="12.0" customHeight="1">
      <c r="A881" s="341"/>
      <c r="B881" s="341"/>
      <c r="C881" s="341"/>
      <c r="D881" s="341"/>
      <c r="E881" s="341"/>
      <c r="F881" s="341"/>
      <c r="G881" s="341"/>
      <c r="H881" s="341"/>
      <c r="I881" s="341"/>
      <c r="J881" s="341"/>
      <c r="K881" s="341"/>
      <c r="L881" s="341"/>
      <c r="M881" s="341"/>
      <c r="N881" s="341"/>
      <c r="O881" s="341"/>
      <c r="P881" s="341"/>
      <c r="Q881" s="341"/>
      <c r="R881" s="341"/>
      <c r="S881" s="341"/>
      <c r="T881" s="341"/>
      <c r="U881" s="341"/>
      <c r="V881" s="341"/>
      <c r="W881" s="341"/>
      <c r="X881" s="341"/>
      <c r="Y881" s="341"/>
      <c r="Z881" s="341"/>
      <c r="AA881" s="341"/>
      <c r="AB881" s="341"/>
      <c r="AC881" s="341"/>
      <c r="AD881" s="341"/>
      <c r="AE881" s="341"/>
    </row>
    <row r="882" ht="12.0" customHeight="1">
      <c r="A882" s="341"/>
      <c r="B882" s="341"/>
      <c r="C882" s="341"/>
      <c r="D882" s="341"/>
      <c r="E882" s="341"/>
      <c r="F882" s="341"/>
      <c r="G882" s="341"/>
      <c r="H882" s="341"/>
      <c r="I882" s="341"/>
      <c r="J882" s="341"/>
      <c r="K882" s="341"/>
      <c r="L882" s="341"/>
      <c r="M882" s="341"/>
      <c r="N882" s="341"/>
      <c r="O882" s="341"/>
      <c r="P882" s="341"/>
      <c r="Q882" s="341"/>
      <c r="R882" s="341"/>
      <c r="S882" s="341"/>
      <c r="T882" s="341"/>
      <c r="U882" s="341"/>
      <c r="V882" s="341"/>
      <c r="W882" s="341"/>
      <c r="X882" s="341"/>
      <c r="Y882" s="341"/>
      <c r="Z882" s="341"/>
      <c r="AA882" s="341"/>
      <c r="AB882" s="341"/>
      <c r="AC882" s="341"/>
      <c r="AD882" s="341"/>
      <c r="AE882" s="341"/>
    </row>
    <row r="883" ht="12.0" customHeight="1">
      <c r="A883" s="341"/>
      <c r="B883" s="341"/>
      <c r="C883" s="341"/>
      <c r="D883" s="341"/>
      <c r="E883" s="341"/>
      <c r="F883" s="341"/>
      <c r="G883" s="341"/>
      <c r="H883" s="341"/>
      <c r="I883" s="341"/>
      <c r="J883" s="341"/>
      <c r="K883" s="341"/>
      <c r="L883" s="341"/>
      <c r="M883" s="341"/>
      <c r="N883" s="341"/>
      <c r="O883" s="341"/>
      <c r="P883" s="341"/>
      <c r="Q883" s="341"/>
      <c r="R883" s="341"/>
      <c r="S883" s="341"/>
      <c r="T883" s="341"/>
      <c r="U883" s="341"/>
      <c r="V883" s="341"/>
      <c r="W883" s="341"/>
      <c r="X883" s="341"/>
      <c r="Y883" s="341"/>
      <c r="Z883" s="341"/>
      <c r="AA883" s="341"/>
      <c r="AB883" s="341"/>
      <c r="AC883" s="341"/>
      <c r="AD883" s="341"/>
      <c r="AE883" s="341"/>
    </row>
    <row r="884" ht="12.0" customHeight="1">
      <c r="A884" s="341"/>
      <c r="B884" s="341"/>
      <c r="C884" s="341"/>
      <c r="D884" s="341"/>
      <c r="E884" s="341"/>
      <c r="F884" s="341"/>
      <c r="G884" s="341"/>
      <c r="H884" s="341"/>
      <c r="I884" s="341"/>
      <c r="J884" s="341"/>
      <c r="K884" s="341"/>
      <c r="L884" s="341"/>
      <c r="M884" s="341"/>
      <c r="N884" s="341"/>
      <c r="O884" s="341"/>
      <c r="P884" s="341"/>
      <c r="Q884" s="341"/>
      <c r="R884" s="341"/>
      <c r="S884" s="341"/>
      <c r="T884" s="341"/>
      <c r="U884" s="341"/>
      <c r="V884" s="341"/>
      <c r="W884" s="341"/>
      <c r="X884" s="341"/>
      <c r="Y884" s="341"/>
      <c r="Z884" s="341"/>
      <c r="AA884" s="341"/>
      <c r="AB884" s="341"/>
      <c r="AC884" s="341"/>
      <c r="AD884" s="341"/>
      <c r="AE884" s="341"/>
    </row>
    <row r="885" ht="12.0" customHeight="1">
      <c r="A885" s="341"/>
      <c r="B885" s="341"/>
      <c r="C885" s="341"/>
      <c r="D885" s="341"/>
      <c r="E885" s="341"/>
      <c r="F885" s="341"/>
      <c r="G885" s="341"/>
      <c r="H885" s="341"/>
      <c r="I885" s="341"/>
      <c r="J885" s="341"/>
      <c r="K885" s="341"/>
      <c r="L885" s="341"/>
      <c r="M885" s="341"/>
      <c r="N885" s="341"/>
      <c r="O885" s="341"/>
      <c r="P885" s="341"/>
      <c r="Q885" s="341"/>
      <c r="R885" s="341"/>
      <c r="S885" s="341"/>
      <c r="T885" s="341"/>
      <c r="U885" s="341"/>
      <c r="V885" s="341"/>
      <c r="W885" s="341"/>
      <c r="X885" s="341"/>
      <c r="Y885" s="341"/>
      <c r="Z885" s="341"/>
      <c r="AA885" s="341"/>
      <c r="AB885" s="341"/>
      <c r="AC885" s="341"/>
      <c r="AD885" s="341"/>
      <c r="AE885" s="341"/>
    </row>
    <row r="886" ht="12.0" customHeight="1">
      <c r="A886" s="341"/>
      <c r="B886" s="341"/>
      <c r="C886" s="341"/>
      <c r="D886" s="341"/>
      <c r="E886" s="341"/>
      <c r="F886" s="341"/>
      <c r="G886" s="341"/>
      <c r="H886" s="341"/>
      <c r="I886" s="341"/>
      <c r="J886" s="341"/>
      <c r="K886" s="341"/>
      <c r="L886" s="341"/>
      <c r="M886" s="341"/>
      <c r="N886" s="341"/>
      <c r="O886" s="341"/>
      <c r="P886" s="341"/>
      <c r="Q886" s="341"/>
      <c r="R886" s="341"/>
      <c r="S886" s="341"/>
      <c r="T886" s="341"/>
      <c r="U886" s="341"/>
      <c r="V886" s="341"/>
      <c r="W886" s="341"/>
      <c r="X886" s="341"/>
      <c r="Y886" s="341"/>
      <c r="Z886" s="341"/>
      <c r="AA886" s="341"/>
      <c r="AB886" s="341"/>
      <c r="AC886" s="341"/>
      <c r="AD886" s="341"/>
      <c r="AE886" s="341"/>
    </row>
    <row r="887" ht="12.0" customHeight="1">
      <c r="A887" s="341"/>
      <c r="B887" s="341"/>
      <c r="C887" s="341"/>
      <c r="D887" s="341"/>
      <c r="E887" s="341"/>
      <c r="F887" s="341"/>
      <c r="G887" s="341"/>
      <c r="H887" s="341"/>
      <c r="I887" s="341"/>
      <c r="J887" s="341"/>
      <c r="K887" s="341"/>
      <c r="L887" s="341"/>
      <c r="M887" s="341"/>
      <c r="N887" s="341"/>
      <c r="O887" s="341"/>
      <c r="P887" s="341"/>
      <c r="Q887" s="341"/>
      <c r="R887" s="341"/>
      <c r="S887" s="341"/>
      <c r="T887" s="341"/>
      <c r="U887" s="341"/>
      <c r="V887" s="341"/>
      <c r="W887" s="341"/>
      <c r="X887" s="341"/>
      <c r="Y887" s="341"/>
      <c r="Z887" s="341"/>
      <c r="AA887" s="341"/>
      <c r="AB887" s="341"/>
      <c r="AC887" s="341"/>
      <c r="AD887" s="341"/>
      <c r="AE887" s="341"/>
    </row>
    <row r="888" ht="12.0" customHeight="1">
      <c r="A888" s="341"/>
      <c r="B888" s="341"/>
      <c r="C888" s="341"/>
      <c r="D888" s="341"/>
      <c r="E888" s="341"/>
      <c r="F888" s="341"/>
      <c r="G888" s="341"/>
      <c r="H888" s="341"/>
      <c r="I888" s="341"/>
      <c r="J888" s="341"/>
      <c r="K888" s="341"/>
      <c r="L888" s="341"/>
      <c r="M888" s="341"/>
      <c r="N888" s="341"/>
      <c r="O888" s="341"/>
      <c r="P888" s="341"/>
      <c r="Q888" s="341"/>
      <c r="R888" s="341"/>
      <c r="S888" s="341"/>
      <c r="T888" s="341"/>
      <c r="U888" s="341"/>
      <c r="V888" s="341"/>
      <c r="W888" s="341"/>
      <c r="X888" s="341"/>
      <c r="Y888" s="341"/>
      <c r="Z888" s="341"/>
      <c r="AA888" s="341"/>
      <c r="AB888" s="341"/>
      <c r="AC888" s="341"/>
      <c r="AD888" s="341"/>
      <c r="AE888" s="341"/>
    </row>
    <row r="889" ht="12.0" customHeight="1">
      <c r="A889" s="341"/>
      <c r="B889" s="341"/>
      <c r="C889" s="341"/>
      <c r="D889" s="341"/>
      <c r="E889" s="341"/>
      <c r="F889" s="341"/>
      <c r="G889" s="341"/>
      <c r="H889" s="341"/>
      <c r="I889" s="341"/>
      <c r="J889" s="341"/>
      <c r="K889" s="341"/>
      <c r="L889" s="341"/>
      <c r="M889" s="341"/>
      <c r="N889" s="341"/>
      <c r="O889" s="341"/>
      <c r="P889" s="341"/>
      <c r="Q889" s="341"/>
      <c r="R889" s="341"/>
      <c r="S889" s="341"/>
      <c r="T889" s="341"/>
      <c r="U889" s="341"/>
      <c r="V889" s="341"/>
      <c r="W889" s="341"/>
      <c r="X889" s="341"/>
      <c r="Y889" s="341"/>
      <c r="Z889" s="341"/>
      <c r="AA889" s="341"/>
      <c r="AB889" s="341"/>
      <c r="AC889" s="341"/>
      <c r="AD889" s="341"/>
      <c r="AE889" s="341"/>
    </row>
    <row r="890" ht="12.0" customHeight="1">
      <c r="A890" s="341"/>
      <c r="B890" s="341"/>
      <c r="C890" s="341"/>
      <c r="D890" s="341"/>
      <c r="E890" s="341"/>
      <c r="F890" s="341"/>
      <c r="G890" s="341"/>
      <c r="H890" s="341"/>
      <c r="I890" s="341"/>
      <c r="J890" s="341"/>
      <c r="K890" s="341"/>
      <c r="L890" s="341"/>
      <c r="M890" s="341"/>
      <c r="N890" s="341"/>
      <c r="O890" s="341"/>
      <c r="P890" s="341"/>
      <c r="Q890" s="341"/>
      <c r="R890" s="341"/>
      <c r="S890" s="341"/>
      <c r="T890" s="341"/>
      <c r="U890" s="341"/>
      <c r="V890" s="341"/>
      <c r="W890" s="341"/>
      <c r="X890" s="341"/>
      <c r="Y890" s="341"/>
      <c r="Z890" s="341"/>
      <c r="AA890" s="341"/>
      <c r="AB890" s="341"/>
      <c r="AC890" s="341"/>
      <c r="AD890" s="341"/>
      <c r="AE890" s="341"/>
    </row>
    <row r="891" ht="12.0" customHeight="1">
      <c r="A891" s="341"/>
      <c r="B891" s="341"/>
      <c r="C891" s="341"/>
      <c r="D891" s="341"/>
      <c r="E891" s="341"/>
      <c r="F891" s="341"/>
      <c r="G891" s="341"/>
      <c r="H891" s="341"/>
      <c r="I891" s="341"/>
      <c r="J891" s="341"/>
      <c r="K891" s="341"/>
      <c r="L891" s="341"/>
      <c r="M891" s="341"/>
      <c r="N891" s="341"/>
      <c r="O891" s="341"/>
      <c r="P891" s="341"/>
      <c r="Q891" s="341"/>
      <c r="R891" s="341"/>
      <c r="S891" s="341"/>
      <c r="T891" s="341"/>
      <c r="U891" s="341"/>
      <c r="V891" s="341"/>
      <c r="W891" s="341"/>
      <c r="X891" s="341"/>
      <c r="Y891" s="341"/>
      <c r="Z891" s="341"/>
      <c r="AA891" s="341"/>
      <c r="AB891" s="341"/>
      <c r="AC891" s="341"/>
      <c r="AD891" s="341"/>
      <c r="AE891" s="341"/>
    </row>
    <row r="892" ht="12.0" customHeight="1">
      <c r="A892" s="341"/>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c r="AA892" s="341"/>
      <c r="AB892" s="341"/>
      <c r="AC892" s="341"/>
      <c r="AD892" s="341"/>
      <c r="AE892" s="341"/>
    </row>
    <row r="893" ht="12.0" customHeight="1">
      <c r="A893" s="341"/>
      <c r="B893" s="341"/>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c r="AA893" s="341"/>
      <c r="AB893" s="341"/>
      <c r="AC893" s="341"/>
      <c r="AD893" s="341"/>
      <c r="AE893" s="341"/>
    </row>
    <row r="894" ht="12.0" customHeight="1">
      <c r="A894" s="341"/>
      <c r="B894" s="341"/>
      <c r="C894" s="341"/>
      <c r="D894" s="341"/>
      <c r="E894" s="341"/>
      <c r="F894" s="341"/>
      <c r="G894" s="341"/>
      <c r="H894" s="341"/>
      <c r="I894" s="341"/>
      <c r="J894" s="341"/>
      <c r="K894" s="341"/>
      <c r="L894" s="341"/>
      <c r="M894" s="341"/>
      <c r="N894" s="341"/>
      <c r="O894" s="341"/>
      <c r="P894" s="341"/>
      <c r="Q894" s="341"/>
      <c r="R894" s="341"/>
      <c r="S894" s="341"/>
      <c r="T894" s="341"/>
      <c r="U894" s="341"/>
      <c r="V894" s="341"/>
      <c r="W894" s="341"/>
      <c r="X894" s="341"/>
      <c r="Y894" s="341"/>
      <c r="Z894" s="341"/>
      <c r="AA894" s="341"/>
      <c r="AB894" s="341"/>
      <c r="AC894" s="341"/>
      <c r="AD894" s="341"/>
      <c r="AE894" s="341"/>
    </row>
    <row r="895" ht="12.0" customHeight="1">
      <c r="A895" s="341"/>
      <c r="B895" s="341"/>
      <c r="C895" s="341"/>
      <c r="D895" s="341"/>
      <c r="E895" s="341"/>
      <c r="F895" s="341"/>
      <c r="G895" s="341"/>
      <c r="H895" s="341"/>
      <c r="I895" s="341"/>
      <c r="J895" s="341"/>
      <c r="K895" s="341"/>
      <c r="L895" s="341"/>
      <c r="M895" s="341"/>
      <c r="N895" s="341"/>
      <c r="O895" s="341"/>
      <c r="P895" s="341"/>
      <c r="Q895" s="341"/>
      <c r="R895" s="341"/>
      <c r="S895" s="341"/>
      <c r="T895" s="341"/>
      <c r="U895" s="341"/>
      <c r="V895" s="341"/>
      <c r="W895" s="341"/>
      <c r="X895" s="341"/>
      <c r="Y895" s="341"/>
      <c r="Z895" s="341"/>
      <c r="AA895" s="341"/>
      <c r="AB895" s="341"/>
      <c r="AC895" s="341"/>
      <c r="AD895" s="341"/>
      <c r="AE895" s="341"/>
    </row>
    <row r="896" ht="12.0" customHeight="1">
      <c r="A896" s="341"/>
      <c r="B896" s="341"/>
      <c r="C896" s="341"/>
      <c r="D896" s="341"/>
      <c r="E896" s="341"/>
      <c r="F896" s="341"/>
      <c r="G896" s="341"/>
      <c r="H896" s="341"/>
      <c r="I896" s="341"/>
      <c r="J896" s="341"/>
      <c r="K896" s="341"/>
      <c r="L896" s="341"/>
      <c r="M896" s="341"/>
      <c r="N896" s="341"/>
      <c r="O896" s="341"/>
      <c r="P896" s="341"/>
      <c r="Q896" s="341"/>
      <c r="R896" s="341"/>
      <c r="S896" s="341"/>
      <c r="T896" s="341"/>
      <c r="U896" s="341"/>
      <c r="V896" s="341"/>
      <c r="W896" s="341"/>
      <c r="X896" s="341"/>
      <c r="Y896" s="341"/>
      <c r="Z896" s="341"/>
      <c r="AA896" s="341"/>
      <c r="AB896" s="341"/>
      <c r="AC896" s="341"/>
      <c r="AD896" s="341"/>
      <c r="AE896" s="341"/>
    </row>
    <row r="897" ht="12.0" customHeight="1">
      <c r="A897" s="341"/>
      <c r="B897" s="341"/>
      <c r="C897" s="341"/>
      <c r="D897" s="341"/>
      <c r="E897" s="341"/>
      <c r="F897" s="341"/>
      <c r="G897" s="341"/>
      <c r="H897" s="341"/>
      <c r="I897" s="341"/>
      <c r="J897" s="341"/>
      <c r="K897" s="341"/>
      <c r="L897" s="341"/>
      <c r="M897" s="341"/>
      <c r="N897" s="341"/>
      <c r="O897" s="341"/>
      <c r="P897" s="341"/>
      <c r="Q897" s="341"/>
      <c r="R897" s="341"/>
      <c r="S897" s="341"/>
      <c r="T897" s="341"/>
      <c r="U897" s="341"/>
      <c r="V897" s="341"/>
      <c r="W897" s="341"/>
      <c r="X897" s="341"/>
      <c r="Y897" s="341"/>
      <c r="Z897" s="341"/>
      <c r="AA897" s="341"/>
      <c r="AB897" s="341"/>
      <c r="AC897" s="341"/>
      <c r="AD897" s="341"/>
      <c r="AE897" s="341"/>
    </row>
    <row r="898" ht="12.0" customHeight="1">
      <c r="A898" s="341"/>
      <c r="B898" s="341"/>
      <c r="C898" s="341"/>
      <c r="D898" s="341"/>
      <c r="E898" s="341"/>
      <c r="F898" s="341"/>
      <c r="G898" s="341"/>
      <c r="H898" s="341"/>
      <c r="I898" s="341"/>
      <c r="J898" s="341"/>
      <c r="K898" s="341"/>
      <c r="L898" s="341"/>
      <c r="M898" s="341"/>
      <c r="N898" s="341"/>
      <c r="O898" s="341"/>
      <c r="P898" s="341"/>
      <c r="Q898" s="341"/>
      <c r="R898" s="341"/>
      <c r="S898" s="341"/>
      <c r="T898" s="341"/>
      <c r="U898" s="341"/>
      <c r="V898" s="341"/>
      <c r="W898" s="341"/>
      <c r="X898" s="341"/>
      <c r="Y898" s="341"/>
      <c r="Z898" s="341"/>
      <c r="AA898" s="341"/>
      <c r="AB898" s="341"/>
      <c r="AC898" s="341"/>
      <c r="AD898" s="341"/>
      <c r="AE898" s="341"/>
    </row>
    <row r="899" ht="12.0" customHeight="1">
      <c r="A899" s="341"/>
      <c r="B899" s="341"/>
      <c r="C899" s="341"/>
      <c r="D899" s="341"/>
      <c r="E899" s="341"/>
      <c r="F899" s="341"/>
      <c r="G899" s="341"/>
      <c r="H899" s="341"/>
      <c r="I899" s="341"/>
      <c r="J899" s="341"/>
      <c r="K899" s="341"/>
      <c r="L899" s="341"/>
      <c r="M899" s="341"/>
      <c r="N899" s="341"/>
      <c r="O899" s="341"/>
      <c r="P899" s="341"/>
      <c r="Q899" s="341"/>
      <c r="R899" s="341"/>
      <c r="S899" s="341"/>
      <c r="T899" s="341"/>
      <c r="U899" s="341"/>
      <c r="V899" s="341"/>
      <c r="W899" s="341"/>
      <c r="X899" s="341"/>
      <c r="Y899" s="341"/>
      <c r="Z899" s="341"/>
      <c r="AA899" s="341"/>
      <c r="AB899" s="341"/>
      <c r="AC899" s="341"/>
      <c r="AD899" s="341"/>
      <c r="AE899" s="341"/>
    </row>
    <row r="900" ht="12.0" customHeight="1">
      <c r="A900" s="341"/>
      <c r="B900" s="341"/>
      <c r="C900" s="341"/>
      <c r="D900" s="341"/>
      <c r="E900" s="341"/>
      <c r="F900" s="341"/>
      <c r="G900" s="341"/>
      <c r="H900" s="341"/>
      <c r="I900" s="341"/>
      <c r="J900" s="341"/>
      <c r="K900" s="341"/>
      <c r="L900" s="341"/>
      <c r="M900" s="341"/>
      <c r="N900" s="341"/>
      <c r="O900" s="341"/>
      <c r="P900" s="341"/>
      <c r="Q900" s="341"/>
      <c r="R900" s="341"/>
      <c r="S900" s="341"/>
      <c r="T900" s="341"/>
      <c r="U900" s="341"/>
      <c r="V900" s="341"/>
      <c r="W900" s="341"/>
      <c r="X900" s="341"/>
      <c r="Y900" s="341"/>
      <c r="Z900" s="341"/>
      <c r="AA900" s="341"/>
      <c r="AB900" s="341"/>
      <c r="AC900" s="341"/>
      <c r="AD900" s="341"/>
      <c r="AE900" s="341"/>
    </row>
    <row r="901" ht="12.0" customHeight="1">
      <c r="A901" s="341"/>
      <c r="B901" s="341"/>
      <c r="C901" s="341"/>
      <c r="D901" s="341"/>
      <c r="E901" s="341"/>
      <c r="F901" s="341"/>
      <c r="G901" s="341"/>
      <c r="H901" s="341"/>
      <c r="I901" s="341"/>
      <c r="J901" s="341"/>
      <c r="K901" s="341"/>
      <c r="L901" s="341"/>
      <c r="M901" s="341"/>
      <c r="N901" s="341"/>
      <c r="O901" s="341"/>
      <c r="P901" s="341"/>
      <c r="Q901" s="341"/>
      <c r="R901" s="341"/>
      <c r="S901" s="341"/>
      <c r="T901" s="341"/>
      <c r="U901" s="341"/>
      <c r="V901" s="341"/>
      <c r="W901" s="341"/>
      <c r="X901" s="341"/>
      <c r="Y901" s="341"/>
      <c r="Z901" s="341"/>
      <c r="AA901" s="341"/>
      <c r="AB901" s="341"/>
      <c r="AC901" s="341"/>
      <c r="AD901" s="341"/>
      <c r="AE901" s="341"/>
    </row>
    <row r="902" ht="12.0" customHeight="1">
      <c r="A902" s="341"/>
      <c r="B902" s="341"/>
      <c r="C902" s="341"/>
      <c r="D902" s="341"/>
      <c r="E902" s="341"/>
      <c r="F902" s="341"/>
      <c r="G902" s="341"/>
      <c r="H902" s="341"/>
      <c r="I902" s="341"/>
      <c r="J902" s="341"/>
      <c r="K902" s="341"/>
      <c r="L902" s="341"/>
      <c r="M902" s="341"/>
      <c r="N902" s="341"/>
      <c r="O902" s="341"/>
      <c r="P902" s="341"/>
      <c r="Q902" s="341"/>
      <c r="R902" s="341"/>
      <c r="S902" s="341"/>
      <c r="T902" s="341"/>
      <c r="U902" s="341"/>
      <c r="V902" s="341"/>
      <c r="W902" s="341"/>
      <c r="X902" s="341"/>
      <c r="Y902" s="341"/>
      <c r="Z902" s="341"/>
      <c r="AA902" s="341"/>
      <c r="AB902" s="341"/>
      <c r="AC902" s="341"/>
      <c r="AD902" s="341"/>
      <c r="AE902" s="341"/>
    </row>
    <row r="903" ht="12.0" customHeight="1">
      <c r="A903" s="341"/>
      <c r="B903" s="341"/>
      <c r="C903" s="341"/>
      <c r="D903" s="341"/>
      <c r="E903" s="341"/>
      <c r="F903" s="341"/>
      <c r="G903" s="341"/>
      <c r="H903" s="341"/>
      <c r="I903" s="341"/>
      <c r="J903" s="341"/>
      <c r="K903" s="341"/>
      <c r="L903" s="341"/>
      <c r="M903" s="341"/>
      <c r="N903" s="341"/>
      <c r="O903" s="341"/>
      <c r="P903" s="341"/>
      <c r="Q903" s="341"/>
      <c r="R903" s="341"/>
      <c r="S903" s="341"/>
      <c r="T903" s="341"/>
      <c r="U903" s="341"/>
      <c r="V903" s="341"/>
      <c r="W903" s="341"/>
      <c r="X903" s="341"/>
      <c r="Y903" s="341"/>
      <c r="Z903" s="341"/>
      <c r="AA903" s="341"/>
      <c r="AB903" s="341"/>
      <c r="AC903" s="341"/>
      <c r="AD903" s="341"/>
      <c r="AE903" s="341"/>
    </row>
    <row r="904" ht="12.0" customHeight="1">
      <c r="A904" s="341"/>
      <c r="B904" s="341"/>
      <c r="C904" s="341"/>
      <c r="D904" s="341"/>
      <c r="E904" s="341"/>
      <c r="F904" s="341"/>
      <c r="G904" s="341"/>
      <c r="H904" s="341"/>
      <c r="I904" s="341"/>
      <c r="J904" s="341"/>
      <c r="K904" s="341"/>
      <c r="L904" s="341"/>
      <c r="M904" s="341"/>
      <c r="N904" s="341"/>
      <c r="O904" s="341"/>
      <c r="P904" s="341"/>
      <c r="Q904" s="341"/>
      <c r="R904" s="341"/>
      <c r="S904" s="341"/>
      <c r="T904" s="341"/>
      <c r="U904" s="341"/>
      <c r="V904" s="341"/>
      <c r="W904" s="341"/>
      <c r="X904" s="341"/>
      <c r="Y904" s="341"/>
      <c r="Z904" s="341"/>
      <c r="AA904" s="341"/>
      <c r="AB904" s="341"/>
      <c r="AC904" s="341"/>
      <c r="AD904" s="341"/>
      <c r="AE904" s="341"/>
    </row>
    <row r="905" ht="12.0" customHeight="1">
      <c r="A905" s="341"/>
      <c r="B905" s="341"/>
      <c r="C905" s="341"/>
      <c r="D905" s="341"/>
      <c r="E905" s="341"/>
      <c r="F905" s="341"/>
      <c r="G905" s="341"/>
      <c r="H905" s="341"/>
      <c r="I905" s="341"/>
      <c r="J905" s="341"/>
      <c r="K905" s="341"/>
      <c r="L905" s="341"/>
      <c r="M905" s="341"/>
      <c r="N905" s="341"/>
      <c r="O905" s="341"/>
      <c r="P905" s="341"/>
      <c r="Q905" s="341"/>
      <c r="R905" s="341"/>
      <c r="S905" s="341"/>
      <c r="T905" s="341"/>
      <c r="U905" s="341"/>
      <c r="V905" s="341"/>
      <c r="W905" s="341"/>
      <c r="X905" s="341"/>
      <c r="Y905" s="341"/>
      <c r="Z905" s="341"/>
      <c r="AA905" s="341"/>
      <c r="AB905" s="341"/>
      <c r="AC905" s="341"/>
      <c r="AD905" s="341"/>
      <c r="AE905" s="341"/>
    </row>
    <row r="906" ht="12.0" customHeight="1">
      <c r="A906" s="341"/>
      <c r="B906" s="341"/>
      <c r="C906" s="341"/>
      <c r="D906" s="341"/>
      <c r="E906" s="341"/>
      <c r="F906" s="341"/>
      <c r="G906" s="341"/>
      <c r="H906" s="341"/>
      <c r="I906" s="341"/>
      <c r="J906" s="341"/>
      <c r="K906" s="341"/>
      <c r="L906" s="341"/>
      <c r="M906" s="341"/>
      <c r="N906" s="341"/>
      <c r="O906" s="341"/>
      <c r="P906" s="341"/>
      <c r="Q906" s="341"/>
      <c r="R906" s="341"/>
      <c r="S906" s="341"/>
      <c r="T906" s="341"/>
      <c r="U906" s="341"/>
      <c r="V906" s="341"/>
      <c r="W906" s="341"/>
      <c r="X906" s="341"/>
      <c r="Y906" s="341"/>
      <c r="Z906" s="341"/>
      <c r="AA906" s="341"/>
      <c r="AB906" s="341"/>
      <c r="AC906" s="341"/>
      <c r="AD906" s="341"/>
      <c r="AE906" s="341"/>
    </row>
    <row r="907" ht="12.0" customHeight="1">
      <c r="A907" s="341"/>
      <c r="B907" s="341"/>
      <c r="C907" s="341"/>
      <c r="D907" s="341"/>
      <c r="E907" s="341"/>
      <c r="F907" s="341"/>
      <c r="G907" s="341"/>
      <c r="H907" s="341"/>
      <c r="I907" s="341"/>
      <c r="J907" s="341"/>
      <c r="K907" s="341"/>
      <c r="L907" s="341"/>
      <c r="M907" s="341"/>
      <c r="N907" s="341"/>
      <c r="O907" s="341"/>
      <c r="P907" s="341"/>
      <c r="Q907" s="341"/>
      <c r="R907" s="341"/>
      <c r="S907" s="341"/>
      <c r="T907" s="341"/>
      <c r="U907" s="341"/>
      <c r="V907" s="341"/>
      <c r="W907" s="341"/>
      <c r="X907" s="341"/>
      <c r="Y907" s="341"/>
      <c r="Z907" s="341"/>
      <c r="AA907" s="341"/>
      <c r="AB907" s="341"/>
      <c r="AC907" s="341"/>
      <c r="AD907" s="341"/>
      <c r="AE907" s="341"/>
    </row>
    <row r="908" ht="12.0" customHeight="1">
      <c r="A908" s="341"/>
      <c r="B908" s="341"/>
      <c r="C908" s="341"/>
      <c r="D908" s="341"/>
      <c r="E908" s="341"/>
      <c r="F908" s="341"/>
      <c r="G908" s="341"/>
      <c r="H908" s="341"/>
      <c r="I908" s="341"/>
      <c r="J908" s="341"/>
      <c r="K908" s="341"/>
      <c r="L908" s="341"/>
      <c r="M908" s="341"/>
      <c r="N908" s="341"/>
      <c r="O908" s="341"/>
      <c r="P908" s="341"/>
      <c r="Q908" s="341"/>
      <c r="R908" s="341"/>
      <c r="S908" s="341"/>
      <c r="T908" s="341"/>
      <c r="U908" s="341"/>
      <c r="V908" s="341"/>
      <c r="W908" s="341"/>
      <c r="X908" s="341"/>
      <c r="Y908" s="341"/>
      <c r="Z908" s="341"/>
      <c r="AA908" s="341"/>
      <c r="AB908" s="341"/>
      <c r="AC908" s="341"/>
      <c r="AD908" s="341"/>
      <c r="AE908" s="341"/>
    </row>
    <row r="909" ht="12.0" customHeight="1">
      <c r="A909" s="341"/>
      <c r="B909" s="341"/>
      <c r="C909" s="341"/>
      <c r="D909" s="341"/>
      <c r="E909" s="341"/>
      <c r="F909" s="341"/>
      <c r="G909" s="341"/>
      <c r="H909" s="341"/>
      <c r="I909" s="341"/>
      <c r="J909" s="341"/>
      <c r="K909" s="341"/>
      <c r="L909" s="341"/>
      <c r="M909" s="341"/>
      <c r="N909" s="341"/>
      <c r="O909" s="341"/>
      <c r="P909" s="341"/>
      <c r="Q909" s="341"/>
      <c r="R909" s="341"/>
      <c r="S909" s="341"/>
      <c r="T909" s="341"/>
      <c r="U909" s="341"/>
      <c r="V909" s="341"/>
      <c r="W909" s="341"/>
      <c r="X909" s="341"/>
      <c r="Y909" s="341"/>
      <c r="Z909" s="341"/>
      <c r="AA909" s="341"/>
      <c r="AB909" s="341"/>
      <c r="AC909" s="341"/>
      <c r="AD909" s="341"/>
      <c r="AE909" s="341"/>
    </row>
    <row r="910" ht="12.0" customHeight="1">
      <c r="A910" s="341"/>
      <c r="B910" s="341"/>
      <c r="C910" s="341"/>
      <c r="D910" s="341"/>
      <c r="E910" s="341"/>
      <c r="F910" s="341"/>
      <c r="G910" s="341"/>
      <c r="H910" s="341"/>
      <c r="I910" s="341"/>
      <c r="J910" s="341"/>
      <c r="K910" s="341"/>
      <c r="L910" s="341"/>
      <c r="M910" s="341"/>
      <c r="N910" s="341"/>
      <c r="O910" s="341"/>
      <c r="P910" s="341"/>
      <c r="Q910" s="341"/>
      <c r="R910" s="341"/>
      <c r="S910" s="341"/>
      <c r="T910" s="341"/>
      <c r="U910" s="341"/>
      <c r="V910" s="341"/>
      <c r="W910" s="341"/>
      <c r="X910" s="341"/>
      <c r="Y910" s="341"/>
      <c r="Z910" s="341"/>
      <c r="AA910" s="341"/>
      <c r="AB910" s="341"/>
      <c r="AC910" s="341"/>
      <c r="AD910" s="341"/>
      <c r="AE910" s="341"/>
    </row>
    <row r="911" ht="12.0" customHeight="1">
      <c r="A911" s="341"/>
      <c r="B911" s="341"/>
      <c r="C911" s="341"/>
      <c r="D911" s="341"/>
      <c r="E911" s="341"/>
      <c r="F911" s="341"/>
      <c r="G911" s="341"/>
      <c r="H911" s="341"/>
      <c r="I911" s="341"/>
      <c r="J911" s="341"/>
      <c r="K911" s="341"/>
      <c r="L911" s="341"/>
      <c r="M911" s="341"/>
      <c r="N911" s="341"/>
      <c r="O911" s="341"/>
      <c r="P911" s="341"/>
      <c r="Q911" s="341"/>
      <c r="R911" s="341"/>
      <c r="S911" s="341"/>
      <c r="T911" s="341"/>
      <c r="U911" s="341"/>
      <c r="V911" s="341"/>
      <c r="W911" s="341"/>
      <c r="X911" s="341"/>
      <c r="Y911" s="341"/>
      <c r="Z911" s="341"/>
      <c r="AA911" s="341"/>
      <c r="AB911" s="341"/>
      <c r="AC911" s="341"/>
      <c r="AD911" s="341"/>
      <c r="AE911" s="341"/>
    </row>
    <row r="912" ht="12.0" customHeight="1">
      <c r="A912" s="341"/>
      <c r="B912" s="341"/>
      <c r="C912" s="341"/>
      <c r="D912" s="341"/>
      <c r="E912" s="341"/>
      <c r="F912" s="341"/>
      <c r="G912" s="341"/>
      <c r="H912" s="341"/>
      <c r="I912" s="341"/>
      <c r="J912" s="341"/>
      <c r="K912" s="341"/>
      <c r="L912" s="341"/>
      <c r="M912" s="341"/>
      <c r="N912" s="341"/>
      <c r="O912" s="341"/>
      <c r="P912" s="341"/>
      <c r="Q912" s="341"/>
      <c r="R912" s="341"/>
      <c r="S912" s="341"/>
      <c r="T912" s="341"/>
      <c r="U912" s="341"/>
      <c r="V912" s="341"/>
      <c r="W912" s="341"/>
      <c r="X912" s="341"/>
      <c r="Y912" s="341"/>
      <c r="Z912" s="341"/>
      <c r="AA912" s="341"/>
      <c r="AB912" s="341"/>
      <c r="AC912" s="341"/>
      <c r="AD912" s="341"/>
      <c r="AE912" s="341"/>
    </row>
    <row r="913" ht="12.0" customHeight="1">
      <c r="A913" s="341"/>
      <c r="B913" s="341"/>
      <c r="C913" s="341"/>
      <c r="D913" s="341"/>
      <c r="E913" s="341"/>
      <c r="F913" s="341"/>
      <c r="G913" s="341"/>
      <c r="H913" s="341"/>
      <c r="I913" s="341"/>
      <c r="J913" s="341"/>
      <c r="K913" s="341"/>
      <c r="L913" s="341"/>
      <c r="M913" s="341"/>
      <c r="N913" s="341"/>
      <c r="O913" s="341"/>
      <c r="P913" s="341"/>
      <c r="Q913" s="341"/>
      <c r="R913" s="341"/>
      <c r="S913" s="341"/>
      <c r="T913" s="341"/>
      <c r="U913" s="341"/>
      <c r="V913" s="341"/>
      <c r="W913" s="341"/>
      <c r="X913" s="341"/>
      <c r="Y913" s="341"/>
      <c r="Z913" s="341"/>
      <c r="AA913" s="341"/>
      <c r="AB913" s="341"/>
      <c r="AC913" s="341"/>
      <c r="AD913" s="341"/>
      <c r="AE913" s="341"/>
    </row>
    <row r="914" ht="12.0" customHeight="1">
      <c r="A914" s="341"/>
      <c r="B914" s="341"/>
      <c r="C914" s="341"/>
      <c r="D914" s="341"/>
      <c r="E914" s="341"/>
      <c r="F914" s="341"/>
      <c r="G914" s="341"/>
      <c r="H914" s="341"/>
      <c r="I914" s="341"/>
      <c r="J914" s="341"/>
      <c r="K914" s="341"/>
      <c r="L914" s="341"/>
      <c r="M914" s="341"/>
      <c r="N914" s="341"/>
      <c r="O914" s="341"/>
      <c r="P914" s="341"/>
      <c r="Q914" s="341"/>
      <c r="R914" s="341"/>
      <c r="S914" s="341"/>
      <c r="T914" s="341"/>
      <c r="U914" s="341"/>
      <c r="V914" s="341"/>
      <c r="W914" s="341"/>
      <c r="X914" s="341"/>
      <c r="Y914" s="341"/>
      <c r="Z914" s="341"/>
      <c r="AA914" s="341"/>
      <c r="AB914" s="341"/>
      <c r="AC914" s="341"/>
      <c r="AD914" s="341"/>
      <c r="AE914" s="341"/>
    </row>
    <row r="915" ht="12.0" customHeight="1">
      <c r="A915" s="341"/>
      <c r="B915" s="341"/>
      <c r="C915" s="341"/>
      <c r="D915" s="341"/>
      <c r="E915" s="341"/>
      <c r="F915" s="341"/>
      <c r="G915" s="341"/>
      <c r="H915" s="341"/>
      <c r="I915" s="341"/>
      <c r="J915" s="341"/>
      <c r="K915" s="341"/>
      <c r="L915" s="341"/>
      <c r="M915" s="341"/>
      <c r="N915" s="341"/>
      <c r="O915" s="341"/>
      <c r="P915" s="341"/>
      <c r="Q915" s="341"/>
      <c r="R915" s="341"/>
      <c r="S915" s="341"/>
      <c r="T915" s="341"/>
      <c r="U915" s="341"/>
      <c r="V915" s="341"/>
      <c r="W915" s="341"/>
      <c r="X915" s="341"/>
      <c r="Y915" s="341"/>
      <c r="Z915" s="341"/>
      <c r="AA915" s="341"/>
      <c r="AB915" s="341"/>
      <c r="AC915" s="341"/>
      <c r="AD915" s="341"/>
      <c r="AE915" s="341"/>
    </row>
    <row r="916" ht="12.0" customHeight="1">
      <c r="A916" s="341"/>
      <c r="B916" s="341"/>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c r="AA916" s="341"/>
      <c r="AB916" s="341"/>
      <c r="AC916" s="341"/>
      <c r="AD916" s="341"/>
      <c r="AE916" s="341"/>
    </row>
    <row r="917" ht="12.0" customHeight="1">
      <c r="A917" s="341"/>
      <c r="B917" s="341"/>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341"/>
      <c r="Z917" s="341"/>
      <c r="AA917" s="341"/>
      <c r="AB917" s="341"/>
      <c r="AC917" s="341"/>
      <c r="AD917" s="341"/>
      <c r="AE917" s="341"/>
    </row>
    <row r="918" ht="12.0" customHeight="1">
      <c r="A918" s="341"/>
      <c r="B918" s="341"/>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c r="AA918" s="341"/>
      <c r="AB918" s="341"/>
      <c r="AC918" s="341"/>
      <c r="AD918" s="341"/>
      <c r="AE918" s="341"/>
    </row>
    <row r="919" ht="12.0" customHeight="1">
      <c r="A919" s="341"/>
      <c r="B919" s="341"/>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c r="AA919" s="341"/>
      <c r="AB919" s="341"/>
      <c r="AC919" s="341"/>
      <c r="AD919" s="341"/>
      <c r="AE919" s="341"/>
    </row>
    <row r="920" ht="12.0" customHeight="1">
      <c r="A920" s="341"/>
      <c r="B920" s="341"/>
      <c r="C920" s="341"/>
      <c r="D920" s="341"/>
      <c r="E920" s="341"/>
      <c r="F920" s="341"/>
      <c r="G920" s="341"/>
      <c r="H920" s="341"/>
      <c r="I920" s="341"/>
      <c r="J920" s="341"/>
      <c r="K920" s="341"/>
      <c r="L920" s="341"/>
      <c r="M920" s="341"/>
      <c r="N920" s="341"/>
      <c r="O920" s="341"/>
      <c r="P920" s="341"/>
      <c r="Q920" s="341"/>
      <c r="R920" s="341"/>
      <c r="S920" s="341"/>
      <c r="T920" s="341"/>
      <c r="U920" s="341"/>
      <c r="V920" s="341"/>
      <c r="W920" s="341"/>
      <c r="X920" s="341"/>
      <c r="Y920" s="341"/>
      <c r="Z920" s="341"/>
      <c r="AA920" s="341"/>
      <c r="AB920" s="341"/>
      <c r="AC920" s="341"/>
      <c r="AD920" s="341"/>
      <c r="AE920" s="341"/>
    </row>
    <row r="921" ht="12.0" customHeight="1">
      <c r="A921" s="341"/>
      <c r="B921" s="341"/>
      <c r="C921" s="341"/>
      <c r="D921" s="341"/>
      <c r="E921" s="341"/>
      <c r="F921" s="341"/>
      <c r="G921" s="341"/>
      <c r="H921" s="341"/>
      <c r="I921" s="341"/>
      <c r="J921" s="341"/>
      <c r="K921" s="341"/>
      <c r="L921" s="341"/>
      <c r="M921" s="341"/>
      <c r="N921" s="341"/>
      <c r="O921" s="341"/>
      <c r="P921" s="341"/>
      <c r="Q921" s="341"/>
      <c r="R921" s="341"/>
      <c r="S921" s="341"/>
      <c r="T921" s="341"/>
      <c r="U921" s="341"/>
      <c r="V921" s="341"/>
      <c r="W921" s="341"/>
      <c r="X921" s="341"/>
      <c r="Y921" s="341"/>
      <c r="Z921" s="341"/>
      <c r="AA921" s="341"/>
      <c r="AB921" s="341"/>
      <c r="AC921" s="341"/>
      <c r="AD921" s="341"/>
      <c r="AE921" s="341"/>
    </row>
    <row r="922" ht="12.0" customHeight="1">
      <c r="A922" s="341"/>
      <c r="B922" s="341"/>
      <c r="C922" s="341"/>
      <c r="D922" s="341"/>
      <c r="E922" s="341"/>
      <c r="F922" s="341"/>
      <c r="G922" s="341"/>
      <c r="H922" s="341"/>
      <c r="I922" s="341"/>
      <c r="J922" s="341"/>
      <c r="K922" s="341"/>
      <c r="L922" s="341"/>
      <c r="M922" s="341"/>
      <c r="N922" s="341"/>
      <c r="O922" s="341"/>
      <c r="P922" s="341"/>
      <c r="Q922" s="341"/>
      <c r="R922" s="341"/>
      <c r="S922" s="341"/>
      <c r="T922" s="341"/>
      <c r="U922" s="341"/>
      <c r="V922" s="341"/>
      <c r="W922" s="341"/>
      <c r="X922" s="341"/>
      <c r="Y922" s="341"/>
      <c r="Z922" s="341"/>
      <c r="AA922" s="341"/>
      <c r="AB922" s="341"/>
      <c r="AC922" s="341"/>
      <c r="AD922" s="341"/>
      <c r="AE922" s="341"/>
    </row>
    <row r="923" ht="12.0" customHeight="1">
      <c r="A923" s="341"/>
      <c r="B923" s="341"/>
      <c r="C923" s="341"/>
      <c r="D923" s="341"/>
      <c r="E923" s="341"/>
      <c r="F923" s="341"/>
      <c r="G923" s="341"/>
      <c r="H923" s="341"/>
      <c r="I923" s="341"/>
      <c r="J923" s="341"/>
      <c r="K923" s="341"/>
      <c r="L923" s="341"/>
      <c r="M923" s="341"/>
      <c r="N923" s="341"/>
      <c r="O923" s="341"/>
      <c r="P923" s="341"/>
      <c r="Q923" s="341"/>
      <c r="R923" s="341"/>
      <c r="S923" s="341"/>
      <c r="T923" s="341"/>
      <c r="U923" s="341"/>
      <c r="V923" s="341"/>
      <c r="W923" s="341"/>
      <c r="X923" s="341"/>
      <c r="Y923" s="341"/>
      <c r="Z923" s="341"/>
      <c r="AA923" s="341"/>
      <c r="AB923" s="341"/>
      <c r="AC923" s="341"/>
      <c r="AD923" s="341"/>
      <c r="AE923" s="341"/>
    </row>
    <row r="924" ht="12.0" customHeight="1">
      <c r="A924" s="341"/>
      <c r="B924" s="341"/>
      <c r="C924" s="341"/>
      <c r="D924" s="341"/>
      <c r="E924" s="341"/>
      <c r="F924" s="341"/>
      <c r="G924" s="341"/>
      <c r="H924" s="341"/>
      <c r="I924" s="341"/>
      <c r="J924" s="341"/>
      <c r="K924" s="341"/>
      <c r="L924" s="341"/>
      <c r="M924" s="341"/>
      <c r="N924" s="341"/>
      <c r="O924" s="341"/>
      <c r="P924" s="341"/>
      <c r="Q924" s="341"/>
      <c r="R924" s="341"/>
      <c r="S924" s="341"/>
      <c r="T924" s="341"/>
      <c r="U924" s="341"/>
      <c r="V924" s="341"/>
      <c r="W924" s="341"/>
      <c r="X924" s="341"/>
      <c r="Y924" s="341"/>
      <c r="Z924" s="341"/>
      <c r="AA924" s="341"/>
      <c r="AB924" s="341"/>
      <c r="AC924" s="341"/>
      <c r="AD924" s="341"/>
      <c r="AE924" s="341"/>
    </row>
    <row r="925" ht="12.0" customHeight="1">
      <c r="A925" s="341"/>
      <c r="B925" s="341"/>
      <c r="C925" s="341"/>
      <c r="D925" s="341"/>
      <c r="E925" s="341"/>
      <c r="F925" s="341"/>
      <c r="G925" s="341"/>
      <c r="H925" s="341"/>
      <c r="I925" s="341"/>
      <c r="J925" s="341"/>
      <c r="K925" s="341"/>
      <c r="L925" s="341"/>
      <c r="M925" s="341"/>
      <c r="N925" s="341"/>
      <c r="O925" s="341"/>
      <c r="P925" s="341"/>
      <c r="Q925" s="341"/>
      <c r="R925" s="341"/>
      <c r="S925" s="341"/>
      <c r="T925" s="341"/>
      <c r="U925" s="341"/>
      <c r="V925" s="341"/>
      <c r="W925" s="341"/>
      <c r="X925" s="341"/>
      <c r="Y925" s="341"/>
      <c r="Z925" s="341"/>
      <c r="AA925" s="341"/>
      <c r="AB925" s="341"/>
      <c r="AC925" s="341"/>
      <c r="AD925" s="341"/>
      <c r="AE925" s="341"/>
    </row>
    <row r="926" ht="12.0" customHeight="1">
      <c r="A926" s="341"/>
      <c r="B926" s="341"/>
      <c r="C926" s="341"/>
      <c r="D926" s="341"/>
      <c r="E926" s="341"/>
      <c r="F926" s="341"/>
      <c r="G926" s="341"/>
      <c r="H926" s="341"/>
      <c r="I926" s="341"/>
      <c r="J926" s="341"/>
      <c r="K926" s="341"/>
      <c r="L926" s="341"/>
      <c r="M926" s="341"/>
      <c r="N926" s="341"/>
      <c r="O926" s="341"/>
      <c r="P926" s="341"/>
      <c r="Q926" s="341"/>
      <c r="R926" s="341"/>
      <c r="S926" s="341"/>
      <c r="T926" s="341"/>
      <c r="U926" s="341"/>
      <c r="V926" s="341"/>
      <c r="W926" s="341"/>
      <c r="X926" s="341"/>
      <c r="Y926" s="341"/>
      <c r="Z926" s="341"/>
      <c r="AA926" s="341"/>
      <c r="AB926" s="341"/>
      <c r="AC926" s="341"/>
      <c r="AD926" s="341"/>
      <c r="AE926" s="341"/>
    </row>
    <row r="927" ht="12.0" customHeight="1">
      <c r="A927" s="341"/>
      <c r="B927" s="341"/>
      <c r="C927" s="341"/>
      <c r="D927" s="341"/>
      <c r="E927" s="341"/>
      <c r="F927" s="341"/>
      <c r="G927" s="341"/>
      <c r="H927" s="341"/>
      <c r="I927" s="341"/>
      <c r="J927" s="341"/>
      <c r="K927" s="341"/>
      <c r="L927" s="341"/>
      <c r="M927" s="341"/>
      <c r="N927" s="341"/>
      <c r="O927" s="341"/>
      <c r="P927" s="341"/>
      <c r="Q927" s="341"/>
      <c r="R927" s="341"/>
      <c r="S927" s="341"/>
      <c r="T927" s="341"/>
      <c r="U927" s="341"/>
      <c r="V927" s="341"/>
      <c r="W927" s="341"/>
      <c r="X927" s="341"/>
      <c r="Y927" s="341"/>
      <c r="Z927" s="341"/>
      <c r="AA927" s="341"/>
      <c r="AB927" s="341"/>
      <c r="AC927" s="341"/>
      <c r="AD927" s="341"/>
      <c r="AE927" s="341"/>
    </row>
    <row r="928" ht="12.0" customHeight="1">
      <c r="A928" s="341"/>
      <c r="B928" s="341"/>
      <c r="C928" s="341"/>
      <c r="D928" s="341"/>
      <c r="E928" s="341"/>
      <c r="F928" s="341"/>
      <c r="G928" s="341"/>
      <c r="H928" s="341"/>
      <c r="I928" s="341"/>
      <c r="J928" s="341"/>
      <c r="K928" s="341"/>
      <c r="L928" s="341"/>
      <c r="M928" s="341"/>
      <c r="N928" s="341"/>
      <c r="O928" s="341"/>
      <c r="P928" s="341"/>
      <c r="Q928" s="341"/>
      <c r="R928" s="341"/>
      <c r="S928" s="341"/>
      <c r="T928" s="341"/>
      <c r="U928" s="341"/>
      <c r="V928" s="341"/>
      <c r="W928" s="341"/>
      <c r="X928" s="341"/>
      <c r="Y928" s="341"/>
      <c r="Z928" s="341"/>
      <c r="AA928" s="341"/>
      <c r="AB928" s="341"/>
      <c r="AC928" s="341"/>
      <c r="AD928" s="341"/>
      <c r="AE928" s="341"/>
    </row>
    <row r="929" ht="12.0" customHeight="1">
      <c r="A929" s="341"/>
      <c r="B929" s="341"/>
      <c r="C929" s="341"/>
      <c r="D929" s="341"/>
      <c r="E929" s="341"/>
      <c r="F929" s="341"/>
      <c r="G929" s="341"/>
      <c r="H929" s="341"/>
      <c r="I929" s="341"/>
      <c r="J929" s="341"/>
      <c r="K929" s="341"/>
      <c r="L929" s="341"/>
      <c r="M929" s="341"/>
      <c r="N929" s="341"/>
      <c r="O929" s="341"/>
      <c r="P929" s="341"/>
      <c r="Q929" s="341"/>
      <c r="R929" s="341"/>
      <c r="S929" s="341"/>
      <c r="T929" s="341"/>
      <c r="U929" s="341"/>
      <c r="V929" s="341"/>
      <c r="W929" s="341"/>
      <c r="X929" s="341"/>
      <c r="Y929" s="341"/>
      <c r="Z929" s="341"/>
      <c r="AA929" s="341"/>
      <c r="AB929" s="341"/>
      <c r="AC929" s="341"/>
      <c r="AD929" s="341"/>
      <c r="AE929" s="341"/>
    </row>
    <row r="930" ht="12.0" customHeight="1">
      <c r="A930" s="341"/>
      <c r="B930" s="341"/>
      <c r="C930" s="341"/>
      <c r="D930" s="341"/>
      <c r="E930" s="341"/>
      <c r="F930" s="341"/>
      <c r="G930" s="341"/>
      <c r="H930" s="341"/>
      <c r="I930" s="341"/>
      <c r="J930" s="341"/>
      <c r="K930" s="341"/>
      <c r="L930" s="341"/>
      <c r="M930" s="341"/>
      <c r="N930" s="341"/>
      <c r="O930" s="341"/>
      <c r="P930" s="341"/>
      <c r="Q930" s="341"/>
      <c r="R930" s="341"/>
      <c r="S930" s="341"/>
      <c r="T930" s="341"/>
      <c r="U930" s="341"/>
      <c r="V930" s="341"/>
      <c r="W930" s="341"/>
      <c r="X930" s="341"/>
      <c r="Y930" s="341"/>
      <c r="Z930" s="341"/>
      <c r="AA930" s="341"/>
      <c r="AB930" s="341"/>
      <c r="AC930" s="341"/>
      <c r="AD930" s="341"/>
      <c r="AE930" s="341"/>
    </row>
    <row r="931" ht="12.0" customHeight="1">
      <c r="A931" s="341"/>
      <c r="B931" s="341"/>
      <c r="C931" s="341"/>
      <c r="D931" s="341"/>
      <c r="E931" s="341"/>
      <c r="F931" s="341"/>
      <c r="G931" s="341"/>
      <c r="H931" s="341"/>
      <c r="I931" s="341"/>
      <c r="J931" s="341"/>
      <c r="K931" s="341"/>
      <c r="L931" s="341"/>
      <c r="M931" s="341"/>
      <c r="N931" s="341"/>
      <c r="O931" s="341"/>
      <c r="P931" s="341"/>
      <c r="Q931" s="341"/>
      <c r="R931" s="341"/>
      <c r="S931" s="341"/>
      <c r="T931" s="341"/>
      <c r="U931" s="341"/>
      <c r="V931" s="341"/>
      <c r="W931" s="341"/>
      <c r="X931" s="341"/>
      <c r="Y931" s="341"/>
      <c r="Z931" s="341"/>
      <c r="AA931" s="341"/>
      <c r="AB931" s="341"/>
      <c r="AC931" s="341"/>
      <c r="AD931" s="341"/>
      <c r="AE931" s="341"/>
    </row>
    <row r="932" ht="12.0" customHeight="1">
      <c r="A932" s="341"/>
      <c r="B932" s="341"/>
      <c r="C932" s="341"/>
      <c r="D932" s="341"/>
      <c r="E932" s="341"/>
      <c r="F932" s="341"/>
      <c r="G932" s="341"/>
      <c r="H932" s="341"/>
      <c r="I932" s="341"/>
      <c r="J932" s="341"/>
      <c r="K932" s="341"/>
      <c r="L932" s="341"/>
      <c r="M932" s="341"/>
      <c r="N932" s="341"/>
      <c r="O932" s="341"/>
      <c r="P932" s="341"/>
      <c r="Q932" s="341"/>
      <c r="R932" s="341"/>
      <c r="S932" s="341"/>
      <c r="T932" s="341"/>
      <c r="U932" s="341"/>
      <c r="V932" s="341"/>
      <c r="W932" s="341"/>
      <c r="X932" s="341"/>
      <c r="Y932" s="341"/>
      <c r="Z932" s="341"/>
      <c r="AA932" s="341"/>
      <c r="AB932" s="341"/>
      <c r="AC932" s="341"/>
      <c r="AD932" s="341"/>
      <c r="AE932" s="341"/>
    </row>
    <row r="933" ht="12.0" customHeight="1">
      <c r="A933" s="341"/>
      <c r="B933" s="341"/>
      <c r="C933" s="341"/>
      <c r="D933" s="341"/>
      <c r="E933" s="341"/>
      <c r="F933" s="341"/>
      <c r="G933" s="341"/>
      <c r="H933" s="341"/>
      <c r="I933" s="341"/>
      <c r="J933" s="341"/>
      <c r="K933" s="341"/>
      <c r="L933" s="341"/>
      <c r="M933" s="341"/>
      <c r="N933" s="341"/>
      <c r="O933" s="341"/>
      <c r="P933" s="341"/>
      <c r="Q933" s="341"/>
      <c r="R933" s="341"/>
      <c r="S933" s="341"/>
      <c r="T933" s="341"/>
      <c r="U933" s="341"/>
      <c r="V933" s="341"/>
      <c r="W933" s="341"/>
      <c r="X933" s="341"/>
      <c r="Y933" s="341"/>
      <c r="Z933" s="341"/>
      <c r="AA933" s="341"/>
      <c r="AB933" s="341"/>
      <c r="AC933" s="341"/>
      <c r="AD933" s="341"/>
      <c r="AE933" s="341"/>
    </row>
    <row r="934" ht="12.0" customHeight="1">
      <c r="A934" s="341"/>
      <c r="B934" s="341"/>
      <c r="C934" s="341"/>
      <c r="D934" s="341"/>
      <c r="E934" s="341"/>
      <c r="F934" s="341"/>
      <c r="G934" s="341"/>
      <c r="H934" s="341"/>
      <c r="I934" s="341"/>
      <c r="J934" s="341"/>
      <c r="K934" s="341"/>
      <c r="L934" s="341"/>
      <c r="M934" s="341"/>
      <c r="N934" s="341"/>
      <c r="O934" s="341"/>
      <c r="P934" s="341"/>
      <c r="Q934" s="341"/>
      <c r="R934" s="341"/>
      <c r="S934" s="341"/>
      <c r="T934" s="341"/>
      <c r="U934" s="341"/>
      <c r="V934" s="341"/>
      <c r="W934" s="341"/>
      <c r="X934" s="341"/>
      <c r="Y934" s="341"/>
      <c r="Z934" s="341"/>
      <c r="AA934" s="341"/>
      <c r="AB934" s="341"/>
      <c r="AC934" s="341"/>
      <c r="AD934" s="341"/>
      <c r="AE934" s="341"/>
    </row>
    <row r="935" ht="12.0" customHeight="1">
      <c r="A935" s="341"/>
      <c r="B935" s="341"/>
      <c r="C935" s="341"/>
      <c r="D935" s="341"/>
      <c r="E935" s="341"/>
      <c r="F935" s="341"/>
      <c r="G935" s="341"/>
      <c r="H935" s="341"/>
      <c r="I935" s="341"/>
      <c r="J935" s="341"/>
      <c r="K935" s="341"/>
      <c r="L935" s="341"/>
      <c r="M935" s="341"/>
      <c r="N935" s="341"/>
      <c r="O935" s="341"/>
      <c r="P935" s="341"/>
      <c r="Q935" s="341"/>
      <c r="R935" s="341"/>
      <c r="S935" s="341"/>
      <c r="T935" s="341"/>
      <c r="U935" s="341"/>
      <c r="V935" s="341"/>
      <c r="W935" s="341"/>
      <c r="X935" s="341"/>
      <c r="Y935" s="341"/>
      <c r="Z935" s="341"/>
      <c r="AA935" s="341"/>
      <c r="AB935" s="341"/>
      <c r="AC935" s="341"/>
      <c r="AD935" s="341"/>
      <c r="AE935" s="341"/>
    </row>
    <row r="936" ht="12.0" customHeight="1">
      <c r="A936" s="341"/>
      <c r="B936" s="341"/>
      <c r="C936" s="341"/>
      <c r="D936" s="341"/>
      <c r="E936" s="341"/>
      <c r="F936" s="341"/>
      <c r="G936" s="341"/>
      <c r="H936" s="341"/>
      <c r="I936" s="341"/>
      <c r="J936" s="341"/>
      <c r="K936" s="341"/>
      <c r="L936" s="341"/>
      <c r="M936" s="341"/>
      <c r="N936" s="341"/>
      <c r="O936" s="341"/>
      <c r="P936" s="341"/>
      <c r="Q936" s="341"/>
      <c r="R936" s="341"/>
      <c r="S936" s="341"/>
      <c r="T936" s="341"/>
      <c r="U936" s="341"/>
      <c r="V936" s="341"/>
      <c r="W936" s="341"/>
      <c r="X936" s="341"/>
      <c r="Y936" s="341"/>
      <c r="Z936" s="341"/>
      <c r="AA936" s="341"/>
      <c r="AB936" s="341"/>
      <c r="AC936" s="341"/>
      <c r="AD936" s="341"/>
      <c r="AE936" s="341"/>
    </row>
    <row r="937" ht="12.0" customHeight="1">
      <c r="A937" s="341"/>
      <c r="B937" s="341"/>
      <c r="C937" s="341"/>
      <c r="D937" s="341"/>
      <c r="E937" s="341"/>
      <c r="F937" s="341"/>
      <c r="G937" s="341"/>
      <c r="H937" s="341"/>
      <c r="I937" s="341"/>
      <c r="J937" s="341"/>
      <c r="K937" s="341"/>
      <c r="L937" s="341"/>
      <c r="M937" s="341"/>
      <c r="N937" s="341"/>
      <c r="O937" s="341"/>
      <c r="P937" s="341"/>
      <c r="Q937" s="341"/>
      <c r="R937" s="341"/>
      <c r="S937" s="341"/>
      <c r="T937" s="341"/>
      <c r="U937" s="341"/>
      <c r="V937" s="341"/>
      <c r="W937" s="341"/>
      <c r="X937" s="341"/>
      <c r="Y937" s="341"/>
      <c r="Z937" s="341"/>
      <c r="AA937" s="341"/>
      <c r="AB937" s="341"/>
      <c r="AC937" s="341"/>
      <c r="AD937" s="341"/>
      <c r="AE937" s="341"/>
    </row>
    <row r="938" ht="12.0" customHeight="1">
      <c r="A938" s="341"/>
      <c r="B938" s="341"/>
      <c r="C938" s="341"/>
      <c r="D938" s="341"/>
      <c r="E938" s="341"/>
      <c r="F938" s="341"/>
      <c r="G938" s="341"/>
      <c r="H938" s="341"/>
      <c r="I938" s="341"/>
      <c r="J938" s="341"/>
      <c r="K938" s="341"/>
      <c r="L938" s="341"/>
      <c r="M938" s="341"/>
      <c r="N938" s="341"/>
      <c r="O938" s="341"/>
      <c r="P938" s="341"/>
      <c r="Q938" s="341"/>
      <c r="R938" s="341"/>
      <c r="S938" s="341"/>
      <c r="T938" s="341"/>
      <c r="U938" s="341"/>
      <c r="V938" s="341"/>
      <c r="W938" s="341"/>
      <c r="X938" s="341"/>
      <c r="Y938" s="341"/>
      <c r="Z938" s="341"/>
      <c r="AA938" s="341"/>
      <c r="AB938" s="341"/>
      <c r="AC938" s="341"/>
      <c r="AD938" s="341"/>
      <c r="AE938" s="341"/>
    </row>
    <row r="939" ht="12.0" customHeight="1">
      <c r="A939" s="341"/>
      <c r="B939" s="341"/>
      <c r="C939" s="341"/>
      <c r="D939" s="341"/>
      <c r="E939" s="341"/>
      <c r="F939" s="341"/>
      <c r="G939" s="341"/>
      <c r="H939" s="341"/>
      <c r="I939" s="341"/>
      <c r="J939" s="341"/>
      <c r="K939" s="341"/>
      <c r="L939" s="341"/>
      <c r="M939" s="341"/>
      <c r="N939" s="341"/>
      <c r="O939" s="341"/>
      <c r="P939" s="341"/>
      <c r="Q939" s="341"/>
      <c r="R939" s="341"/>
      <c r="S939" s="341"/>
      <c r="T939" s="341"/>
      <c r="U939" s="341"/>
      <c r="V939" s="341"/>
      <c r="W939" s="341"/>
      <c r="X939" s="341"/>
      <c r="Y939" s="341"/>
      <c r="Z939" s="341"/>
      <c r="AA939" s="341"/>
      <c r="AB939" s="341"/>
      <c r="AC939" s="341"/>
      <c r="AD939" s="341"/>
      <c r="AE939" s="341"/>
    </row>
    <row r="940" ht="12.0" customHeight="1">
      <c r="A940" s="341"/>
      <c r="B940" s="341"/>
      <c r="C940" s="341"/>
      <c r="D940" s="341"/>
      <c r="E940" s="341"/>
      <c r="F940" s="341"/>
      <c r="G940" s="341"/>
      <c r="H940" s="341"/>
      <c r="I940" s="341"/>
      <c r="J940" s="341"/>
      <c r="K940" s="341"/>
      <c r="L940" s="341"/>
      <c r="M940" s="341"/>
      <c r="N940" s="341"/>
      <c r="O940" s="341"/>
      <c r="P940" s="341"/>
      <c r="Q940" s="341"/>
      <c r="R940" s="341"/>
      <c r="S940" s="341"/>
      <c r="T940" s="341"/>
      <c r="U940" s="341"/>
      <c r="V940" s="341"/>
      <c r="W940" s="341"/>
      <c r="X940" s="341"/>
      <c r="Y940" s="341"/>
      <c r="Z940" s="341"/>
      <c r="AA940" s="341"/>
      <c r="AB940" s="341"/>
      <c r="AC940" s="341"/>
      <c r="AD940" s="341"/>
      <c r="AE940" s="341"/>
    </row>
    <row r="941" ht="12.0" customHeight="1">
      <c r="A941" s="341"/>
      <c r="B941" s="341"/>
      <c r="C941" s="341"/>
      <c r="D941" s="341"/>
      <c r="E941" s="341"/>
      <c r="F941" s="341"/>
      <c r="G941" s="341"/>
      <c r="H941" s="341"/>
      <c r="I941" s="341"/>
      <c r="J941" s="341"/>
      <c r="K941" s="341"/>
      <c r="L941" s="341"/>
      <c r="M941" s="341"/>
      <c r="N941" s="341"/>
      <c r="O941" s="341"/>
      <c r="P941" s="341"/>
      <c r="Q941" s="341"/>
      <c r="R941" s="341"/>
      <c r="S941" s="341"/>
      <c r="T941" s="341"/>
      <c r="U941" s="341"/>
      <c r="V941" s="341"/>
      <c r="W941" s="341"/>
      <c r="X941" s="341"/>
      <c r="Y941" s="341"/>
      <c r="Z941" s="341"/>
      <c r="AA941" s="341"/>
      <c r="AB941" s="341"/>
      <c r="AC941" s="341"/>
      <c r="AD941" s="341"/>
      <c r="AE941" s="341"/>
    </row>
    <row r="942" ht="12.0" customHeight="1">
      <c r="A942" s="341"/>
      <c r="B942" s="341"/>
      <c r="C942" s="341"/>
      <c r="D942" s="341"/>
      <c r="E942" s="341"/>
      <c r="F942" s="341"/>
      <c r="G942" s="341"/>
      <c r="H942" s="341"/>
      <c r="I942" s="341"/>
      <c r="J942" s="341"/>
      <c r="K942" s="341"/>
      <c r="L942" s="341"/>
      <c r="M942" s="341"/>
      <c r="N942" s="341"/>
      <c r="O942" s="341"/>
      <c r="P942" s="341"/>
      <c r="Q942" s="341"/>
      <c r="R942" s="341"/>
      <c r="S942" s="341"/>
      <c r="T942" s="341"/>
      <c r="U942" s="341"/>
      <c r="V942" s="341"/>
      <c r="W942" s="341"/>
      <c r="X942" s="341"/>
      <c r="Y942" s="341"/>
      <c r="Z942" s="341"/>
      <c r="AA942" s="341"/>
      <c r="AB942" s="341"/>
      <c r="AC942" s="341"/>
      <c r="AD942" s="341"/>
      <c r="AE942" s="341"/>
    </row>
    <row r="943" ht="12.0" customHeight="1">
      <c r="A943" s="341"/>
      <c r="B943" s="341"/>
      <c r="C943" s="341"/>
      <c r="D943" s="341"/>
      <c r="E943" s="341"/>
      <c r="F943" s="341"/>
      <c r="G943" s="341"/>
      <c r="H943" s="341"/>
      <c r="I943" s="341"/>
      <c r="J943" s="341"/>
      <c r="K943" s="341"/>
      <c r="L943" s="341"/>
      <c r="M943" s="341"/>
      <c r="N943" s="341"/>
      <c r="O943" s="341"/>
      <c r="P943" s="341"/>
      <c r="Q943" s="341"/>
      <c r="R943" s="341"/>
      <c r="S943" s="341"/>
      <c r="T943" s="341"/>
      <c r="U943" s="341"/>
      <c r="V943" s="341"/>
      <c r="W943" s="341"/>
      <c r="X943" s="341"/>
      <c r="Y943" s="341"/>
      <c r="Z943" s="341"/>
      <c r="AA943" s="341"/>
      <c r="AB943" s="341"/>
      <c r="AC943" s="341"/>
      <c r="AD943" s="341"/>
      <c r="AE943" s="341"/>
    </row>
    <row r="944" ht="12.0" customHeight="1">
      <c r="A944" s="341"/>
      <c r="B944" s="341"/>
      <c r="C944" s="341"/>
      <c r="D944" s="341"/>
      <c r="E944" s="341"/>
      <c r="F944" s="341"/>
      <c r="G944" s="341"/>
      <c r="H944" s="341"/>
      <c r="I944" s="341"/>
      <c r="J944" s="341"/>
      <c r="K944" s="341"/>
      <c r="L944" s="341"/>
      <c r="M944" s="341"/>
      <c r="N944" s="341"/>
      <c r="O944" s="341"/>
      <c r="P944" s="341"/>
      <c r="Q944" s="341"/>
      <c r="R944" s="341"/>
      <c r="S944" s="341"/>
      <c r="T944" s="341"/>
      <c r="U944" s="341"/>
      <c r="V944" s="341"/>
      <c r="W944" s="341"/>
      <c r="X944" s="341"/>
      <c r="Y944" s="341"/>
      <c r="Z944" s="341"/>
      <c r="AA944" s="341"/>
      <c r="AB944" s="341"/>
      <c r="AC944" s="341"/>
      <c r="AD944" s="341"/>
      <c r="AE944" s="341"/>
    </row>
    <row r="945" ht="12.0" customHeight="1">
      <c r="A945" s="341"/>
      <c r="B945" s="341"/>
      <c r="C945" s="341"/>
      <c r="D945" s="341"/>
      <c r="E945" s="341"/>
      <c r="F945" s="341"/>
      <c r="G945" s="341"/>
      <c r="H945" s="341"/>
      <c r="I945" s="341"/>
      <c r="J945" s="341"/>
      <c r="K945" s="341"/>
      <c r="L945" s="341"/>
      <c r="M945" s="341"/>
      <c r="N945" s="341"/>
      <c r="O945" s="341"/>
      <c r="P945" s="341"/>
      <c r="Q945" s="341"/>
      <c r="R945" s="341"/>
      <c r="S945" s="341"/>
      <c r="T945" s="341"/>
      <c r="U945" s="341"/>
      <c r="V945" s="341"/>
      <c r="W945" s="341"/>
      <c r="X945" s="341"/>
      <c r="Y945" s="341"/>
      <c r="Z945" s="341"/>
      <c r="AA945" s="341"/>
      <c r="AB945" s="341"/>
      <c r="AC945" s="341"/>
      <c r="AD945" s="341"/>
      <c r="AE945" s="341"/>
    </row>
    <row r="946" ht="12.0" customHeight="1">
      <c r="A946" s="341"/>
      <c r="B946" s="341"/>
      <c r="C946" s="341"/>
      <c r="D946" s="341"/>
      <c r="E946" s="341"/>
      <c r="F946" s="341"/>
      <c r="G946" s="341"/>
      <c r="H946" s="341"/>
      <c r="I946" s="341"/>
      <c r="J946" s="341"/>
      <c r="K946" s="341"/>
      <c r="L946" s="341"/>
      <c r="M946" s="341"/>
      <c r="N946" s="341"/>
      <c r="O946" s="341"/>
      <c r="P946" s="341"/>
      <c r="Q946" s="341"/>
      <c r="R946" s="341"/>
      <c r="S946" s="341"/>
      <c r="T946" s="341"/>
      <c r="U946" s="341"/>
      <c r="V946" s="341"/>
      <c r="W946" s="341"/>
      <c r="X946" s="341"/>
      <c r="Y946" s="341"/>
      <c r="Z946" s="341"/>
      <c r="AA946" s="341"/>
      <c r="AB946" s="341"/>
      <c r="AC946" s="341"/>
      <c r="AD946" s="341"/>
      <c r="AE946" s="341"/>
    </row>
    <row r="947" ht="12.0" customHeight="1">
      <c r="A947" s="341"/>
      <c r="B947" s="341"/>
      <c r="C947" s="341"/>
      <c r="D947" s="341"/>
      <c r="E947" s="341"/>
      <c r="F947" s="341"/>
      <c r="G947" s="341"/>
      <c r="H947" s="341"/>
      <c r="I947" s="341"/>
      <c r="J947" s="341"/>
      <c r="K947" s="341"/>
      <c r="L947" s="341"/>
      <c r="M947" s="341"/>
      <c r="N947" s="341"/>
      <c r="O947" s="341"/>
      <c r="P947" s="341"/>
      <c r="Q947" s="341"/>
      <c r="R947" s="341"/>
      <c r="S947" s="341"/>
      <c r="T947" s="341"/>
      <c r="U947" s="341"/>
      <c r="V947" s="341"/>
      <c r="W947" s="341"/>
      <c r="X947" s="341"/>
      <c r="Y947" s="341"/>
      <c r="Z947" s="341"/>
      <c r="AA947" s="341"/>
      <c r="AB947" s="341"/>
      <c r="AC947" s="341"/>
      <c r="AD947" s="341"/>
      <c r="AE947" s="341"/>
    </row>
    <row r="948" ht="12.0" customHeight="1">
      <c r="A948" s="341"/>
      <c r="B948" s="341"/>
      <c r="C948" s="341"/>
      <c r="D948" s="341"/>
      <c r="E948" s="341"/>
      <c r="F948" s="341"/>
      <c r="G948" s="341"/>
      <c r="H948" s="341"/>
      <c r="I948" s="341"/>
      <c r="J948" s="341"/>
      <c r="K948" s="341"/>
      <c r="L948" s="341"/>
      <c r="M948" s="341"/>
      <c r="N948" s="341"/>
      <c r="O948" s="341"/>
      <c r="P948" s="341"/>
      <c r="Q948" s="341"/>
      <c r="R948" s="341"/>
      <c r="S948" s="341"/>
      <c r="T948" s="341"/>
      <c r="U948" s="341"/>
      <c r="V948" s="341"/>
      <c r="W948" s="341"/>
      <c r="X948" s="341"/>
      <c r="Y948" s="341"/>
      <c r="Z948" s="341"/>
      <c r="AA948" s="341"/>
      <c r="AB948" s="341"/>
      <c r="AC948" s="341"/>
      <c r="AD948" s="341"/>
      <c r="AE948" s="341"/>
    </row>
    <row r="949" ht="12.0" customHeight="1">
      <c r="A949" s="341"/>
      <c r="B949" s="341"/>
      <c r="C949" s="341"/>
      <c r="D949" s="341"/>
      <c r="E949" s="341"/>
      <c r="F949" s="341"/>
      <c r="G949" s="341"/>
      <c r="H949" s="341"/>
      <c r="I949" s="341"/>
      <c r="J949" s="341"/>
      <c r="K949" s="341"/>
      <c r="L949" s="341"/>
      <c r="M949" s="341"/>
      <c r="N949" s="341"/>
      <c r="O949" s="341"/>
      <c r="P949" s="341"/>
      <c r="Q949" s="341"/>
      <c r="R949" s="341"/>
      <c r="S949" s="341"/>
      <c r="T949" s="341"/>
      <c r="U949" s="341"/>
      <c r="V949" s="341"/>
      <c r="W949" s="341"/>
      <c r="X949" s="341"/>
      <c r="Y949" s="341"/>
      <c r="Z949" s="341"/>
      <c r="AA949" s="341"/>
      <c r="AB949" s="341"/>
      <c r="AC949" s="341"/>
      <c r="AD949" s="341"/>
      <c r="AE949" s="341"/>
    </row>
    <row r="950" ht="12.0" customHeight="1">
      <c r="A950" s="341"/>
      <c r="B950" s="341"/>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c r="AA950" s="341"/>
      <c r="AB950" s="341"/>
      <c r="AC950" s="341"/>
      <c r="AD950" s="341"/>
      <c r="AE950" s="341"/>
    </row>
    <row r="951" ht="12.0" customHeight="1">
      <c r="A951" s="341"/>
      <c r="B951" s="341"/>
      <c r="C951" s="341"/>
      <c r="D951" s="341"/>
      <c r="E951" s="341"/>
      <c r="F951" s="341"/>
      <c r="G951" s="341"/>
      <c r="H951" s="341"/>
      <c r="I951" s="341"/>
      <c r="J951" s="341"/>
      <c r="K951" s="341"/>
      <c r="L951" s="341"/>
      <c r="M951" s="341"/>
      <c r="N951" s="341"/>
      <c r="O951" s="341"/>
      <c r="P951" s="341"/>
      <c r="Q951" s="341"/>
      <c r="R951" s="341"/>
      <c r="S951" s="341"/>
      <c r="T951" s="341"/>
      <c r="U951" s="341"/>
      <c r="V951" s="341"/>
      <c r="W951" s="341"/>
      <c r="X951" s="341"/>
      <c r="Y951" s="341"/>
      <c r="Z951" s="341"/>
      <c r="AA951" s="341"/>
      <c r="AB951" s="341"/>
      <c r="AC951" s="341"/>
      <c r="AD951" s="341"/>
      <c r="AE951" s="341"/>
    </row>
    <row r="952" ht="12.0" customHeight="1">
      <c r="A952" s="341"/>
      <c r="B952" s="341"/>
      <c r="C952" s="341"/>
      <c r="D952" s="341"/>
      <c r="E952" s="341"/>
      <c r="F952" s="341"/>
      <c r="G952" s="341"/>
      <c r="H952" s="341"/>
      <c r="I952" s="341"/>
      <c r="J952" s="341"/>
      <c r="K952" s="341"/>
      <c r="L952" s="341"/>
      <c r="M952" s="341"/>
      <c r="N952" s="341"/>
      <c r="O952" s="341"/>
      <c r="P952" s="341"/>
      <c r="Q952" s="341"/>
      <c r="R952" s="341"/>
      <c r="S952" s="341"/>
      <c r="T952" s="341"/>
      <c r="U952" s="341"/>
      <c r="V952" s="341"/>
      <c r="W952" s="341"/>
      <c r="X952" s="341"/>
      <c r="Y952" s="341"/>
      <c r="Z952" s="341"/>
      <c r="AA952" s="341"/>
      <c r="AB952" s="341"/>
      <c r="AC952" s="341"/>
      <c r="AD952" s="341"/>
      <c r="AE952" s="341"/>
    </row>
    <row r="953" ht="12.0" customHeight="1">
      <c r="A953" s="341"/>
      <c r="B953" s="341"/>
      <c r="C953" s="341"/>
      <c r="D953" s="341"/>
      <c r="E953" s="341"/>
      <c r="F953" s="341"/>
      <c r="G953" s="341"/>
      <c r="H953" s="341"/>
      <c r="I953" s="341"/>
      <c r="J953" s="341"/>
      <c r="K953" s="341"/>
      <c r="L953" s="341"/>
      <c r="M953" s="341"/>
      <c r="N953" s="341"/>
      <c r="O953" s="341"/>
      <c r="P953" s="341"/>
      <c r="Q953" s="341"/>
      <c r="R953" s="341"/>
      <c r="S953" s="341"/>
      <c r="T953" s="341"/>
      <c r="U953" s="341"/>
      <c r="V953" s="341"/>
      <c r="W953" s="341"/>
      <c r="X953" s="341"/>
      <c r="Y953" s="341"/>
      <c r="Z953" s="341"/>
      <c r="AA953" s="341"/>
      <c r="AB953" s="341"/>
      <c r="AC953" s="341"/>
      <c r="AD953" s="341"/>
      <c r="AE953" s="341"/>
    </row>
    <row r="954" ht="12.0" customHeight="1">
      <c r="A954" s="341"/>
      <c r="B954" s="341"/>
      <c r="C954" s="341"/>
      <c r="D954" s="341"/>
      <c r="E954" s="341"/>
      <c r="F954" s="341"/>
      <c r="G954" s="341"/>
      <c r="H954" s="341"/>
      <c r="I954" s="341"/>
      <c r="J954" s="341"/>
      <c r="K954" s="341"/>
      <c r="L954" s="341"/>
      <c r="M954" s="341"/>
      <c r="N954" s="341"/>
      <c r="O954" s="341"/>
      <c r="P954" s="341"/>
      <c r="Q954" s="341"/>
      <c r="R954" s="341"/>
      <c r="S954" s="341"/>
      <c r="T954" s="341"/>
      <c r="U954" s="341"/>
      <c r="V954" s="341"/>
      <c r="W954" s="341"/>
      <c r="X954" s="341"/>
      <c r="Y954" s="341"/>
      <c r="Z954" s="341"/>
      <c r="AA954" s="341"/>
      <c r="AB954" s="341"/>
      <c r="AC954" s="341"/>
      <c r="AD954" s="341"/>
      <c r="AE954" s="341"/>
    </row>
    <row r="955" ht="12.0" customHeight="1">
      <c r="A955" s="341"/>
      <c r="B955" s="341"/>
      <c r="C955" s="341"/>
      <c r="D955" s="341"/>
      <c r="E955" s="341"/>
      <c r="F955" s="341"/>
      <c r="G955" s="341"/>
      <c r="H955" s="341"/>
      <c r="I955" s="341"/>
      <c r="J955" s="341"/>
      <c r="K955" s="341"/>
      <c r="L955" s="341"/>
      <c r="M955" s="341"/>
      <c r="N955" s="341"/>
      <c r="O955" s="341"/>
      <c r="P955" s="341"/>
      <c r="Q955" s="341"/>
      <c r="R955" s="341"/>
      <c r="S955" s="341"/>
      <c r="T955" s="341"/>
      <c r="U955" s="341"/>
      <c r="V955" s="341"/>
      <c r="W955" s="341"/>
      <c r="X955" s="341"/>
      <c r="Y955" s="341"/>
      <c r="Z955" s="341"/>
      <c r="AA955" s="341"/>
      <c r="AB955" s="341"/>
      <c r="AC955" s="341"/>
      <c r="AD955" s="341"/>
      <c r="AE955" s="341"/>
    </row>
    <row r="956" ht="12.0" customHeight="1">
      <c r="A956" s="341"/>
      <c r="B956" s="341"/>
      <c r="C956" s="341"/>
      <c r="D956" s="341"/>
      <c r="E956" s="341"/>
      <c r="F956" s="341"/>
      <c r="G956" s="341"/>
      <c r="H956" s="341"/>
      <c r="I956" s="341"/>
      <c r="J956" s="341"/>
      <c r="K956" s="341"/>
      <c r="L956" s="341"/>
      <c r="M956" s="341"/>
      <c r="N956" s="341"/>
      <c r="O956" s="341"/>
      <c r="P956" s="341"/>
      <c r="Q956" s="341"/>
      <c r="R956" s="341"/>
      <c r="S956" s="341"/>
      <c r="T956" s="341"/>
      <c r="U956" s="341"/>
      <c r="V956" s="341"/>
      <c r="W956" s="341"/>
      <c r="X956" s="341"/>
      <c r="Y956" s="341"/>
      <c r="Z956" s="341"/>
      <c r="AA956" s="341"/>
      <c r="AB956" s="341"/>
      <c r="AC956" s="341"/>
      <c r="AD956" s="341"/>
      <c r="AE956" s="341"/>
    </row>
    <row r="957" ht="12.0" customHeight="1">
      <c r="A957" s="341"/>
      <c r="B957" s="341"/>
      <c r="C957" s="341"/>
      <c r="D957" s="341"/>
      <c r="E957" s="341"/>
      <c r="F957" s="341"/>
      <c r="G957" s="341"/>
      <c r="H957" s="341"/>
      <c r="I957" s="341"/>
      <c r="J957" s="341"/>
      <c r="K957" s="341"/>
      <c r="L957" s="341"/>
      <c r="M957" s="341"/>
      <c r="N957" s="341"/>
      <c r="O957" s="341"/>
      <c r="P957" s="341"/>
      <c r="Q957" s="341"/>
      <c r="R957" s="341"/>
      <c r="S957" s="341"/>
      <c r="T957" s="341"/>
      <c r="U957" s="341"/>
      <c r="V957" s="341"/>
      <c r="W957" s="341"/>
      <c r="X957" s="341"/>
      <c r="Y957" s="341"/>
      <c r="Z957" s="341"/>
      <c r="AA957" s="341"/>
      <c r="AB957" s="341"/>
      <c r="AC957" s="341"/>
      <c r="AD957" s="341"/>
      <c r="AE957" s="341"/>
    </row>
    <row r="958" ht="12.0" customHeight="1">
      <c r="A958" s="341"/>
      <c r="B958" s="341"/>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c r="AA958" s="341"/>
      <c r="AB958" s="341"/>
      <c r="AC958" s="341"/>
      <c r="AD958" s="341"/>
      <c r="AE958" s="341"/>
    </row>
    <row r="959" ht="12.0" customHeight="1">
      <c r="A959" s="341"/>
      <c r="B959" s="341"/>
      <c r="C959" s="341"/>
      <c r="D959" s="341"/>
      <c r="E959" s="341"/>
      <c r="F959" s="341"/>
      <c r="G959" s="341"/>
      <c r="H959" s="341"/>
      <c r="I959" s="341"/>
      <c r="J959" s="341"/>
      <c r="K959" s="341"/>
      <c r="L959" s="341"/>
      <c r="M959" s="341"/>
      <c r="N959" s="341"/>
      <c r="O959" s="341"/>
      <c r="P959" s="341"/>
      <c r="Q959" s="341"/>
      <c r="R959" s="341"/>
      <c r="S959" s="341"/>
      <c r="T959" s="341"/>
      <c r="U959" s="341"/>
      <c r="V959" s="341"/>
      <c r="W959" s="341"/>
      <c r="X959" s="341"/>
      <c r="Y959" s="341"/>
      <c r="Z959" s="341"/>
      <c r="AA959" s="341"/>
      <c r="AB959" s="341"/>
      <c r="AC959" s="341"/>
      <c r="AD959" s="341"/>
      <c r="AE959" s="341"/>
    </row>
    <row r="960" ht="12.0" customHeight="1">
      <c r="A960" s="341"/>
      <c r="B960" s="341"/>
      <c r="C960" s="341"/>
      <c r="D960" s="341"/>
      <c r="E960" s="341"/>
      <c r="F960" s="341"/>
      <c r="G960" s="341"/>
      <c r="H960" s="341"/>
      <c r="I960" s="341"/>
      <c r="J960" s="341"/>
      <c r="K960" s="341"/>
      <c r="L960" s="341"/>
      <c r="M960" s="341"/>
      <c r="N960" s="341"/>
      <c r="O960" s="341"/>
      <c r="P960" s="341"/>
      <c r="Q960" s="341"/>
      <c r="R960" s="341"/>
      <c r="S960" s="341"/>
      <c r="T960" s="341"/>
      <c r="U960" s="341"/>
      <c r="V960" s="341"/>
      <c r="W960" s="341"/>
      <c r="X960" s="341"/>
      <c r="Y960" s="341"/>
      <c r="Z960" s="341"/>
      <c r="AA960" s="341"/>
      <c r="AB960" s="341"/>
      <c r="AC960" s="341"/>
      <c r="AD960" s="341"/>
      <c r="AE960" s="341"/>
    </row>
    <row r="961" ht="12.0" customHeight="1">
      <c r="A961" s="341"/>
      <c r="B961" s="341"/>
      <c r="C961" s="341"/>
      <c r="D961" s="341"/>
      <c r="E961" s="341"/>
      <c r="F961" s="341"/>
      <c r="G961" s="341"/>
      <c r="H961" s="341"/>
      <c r="I961" s="341"/>
      <c r="J961" s="341"/>
      <c r="K961" s="341"/>
      <c r="L961" s="341"/>
      <c r="M961" s="341"/>
      <c r="N961" s="341"/>
      <c r="O961" s="341"/>
      <c r="P961" s="341"/>
      <c r="Q961" s="341"/>
      <c r="R961" s="341"/>
      <c r="S961" s="341"/>
      <c r="T961" s="341"/>
      <c r="U961" s="341"/>
      <c r="V961" s="341"/>
      <c r="W961" s="341"/>
      <c r="X961" s="341"/>
      <c r="Y961" s="341"/>
      <c r="Z961" s="341"/>
      <c r="AA961" s="341"/>
      <c r="AB961" s="341"/>
      <c r="AC961" s="341"/>
      <c r="AD961" s="341"/>
      <c r="AE961" s="341"/>
    </row>
    <row r="962" ht="12.0" customHeight="1">
      <c r="A962" s="341"/>
      <c r="B962" s="341"/>
      <c r="C962" s="341"/>
      <c r="D962" s="341"/>
      <c r="E962" s="341"/>
      <c r="F962" s="341"/>
      <c r="G962" s="341"/>
      <c r="H962" s="341"/>
      <c r="I962" s="341"/>
      <c r="J962" s="341"/>
      <c r="K962" s="341"/>
      <c r="L962" s="341"/>
      <c r="M962" s="341"/>
      <c r="N962" s="341"/>
      <c r="O962" s="341"/>
      <c r="P962" s="341"/>
      <c r="Q962" s="341"/>
      <c r="R962" s="341"/>
      <c r="S962" s="341"/>
      <c r="T962" s="341"/>
      <c r="U962" s="341"/>
      <c r="V962" s="341"/>
      <c r="W962" s="341"/>
      <c r="X962" s="341"/>
      <c r="Y962" s="341"/>
      <c r="Z962" s="341"/>
      <c r="AA962" s="341"/>
      <c r="AB962" s="341"/>
      <c r="AC962" s="341"/>
      <c r="AD962" s="341"/>
      <c r="AE962" s="341"/>
    </row>
    <row r="963" ht="12.0" customHeight="1">
      <c r="A963" s="341"/>
      <c r="B963" s="341"/>
      <c r="C963" s="341"/>
      <c r="D963" s="341"/>
      <c r="E963" s="341"/>
      <c r="F963" s="341"/>
      <c r="G963" s="341"/>
      <c r="H963" s="341"/>
      <c r="I963" s="341"/>
      <c r="J963" s="341"/>
      <c r="K963" s="341"/>
      <c r="L963" s="341"/>
      <c r="M963" s="341"/>
      <c r="N963" s="341"/>
      <c r="O963" s="341"/>
      <c r="P963" s="341"/>
      <c r="Q963" s="341"/>
      <c r="R963" s="341"/>
      <c r="S963" s="341"/>
      <c r="T963" s="341"/>
      <c r="U963" s="341"/>
      <c r="V963" s="341"/>
      <c r="W963" s="341"/>
      <c r="X963" s="341"/>
      <c r="Y963" s="341"/>
      <c r="Z963" s="341"/>
      <c r="AA963" s="341"/>
      <c r="AB963" s="341"/>
      <c r="AC963" s="341"/>
      <c r="AD963" s="341"/>
      <c r="AE963" s="341"/>
    </row>
    <row r="964" ht="12.0" customHeight="1">
      <c r="A964" s="341"/>
      <c r="B964" s="341"/>
      <c r="C964" s="341"/>
      <c r="D964" s="341"/>
      <c r="E964" s="341"/>
      <c r="F964" s="341"/>
      <c r="G964" s="341"/>
      <c r="H964" s="341"/>
      <c r="I964" s="341"/>
      <c r="J964" s="341"/>
      <c r="K964" s="341"/>
      <c r="L964" s="341"/>
      <c r="M964" s="341"/>
      <c r="N964" s="341"/>
      <c r="O964" s="341"/>
      <c r="P964" s="341"/>
      <c r="Q964" s="341"/>
      <c r="R964" s="341"/>
      <c r="S964" s="341"/>
      <c r="T964" s="341"/>
      <c r="U964" s="341"/>
      <c r="V964" s="341"/>
      <c r="W964" s="341"/>
      <c r="X964" s="341"/>
      <c r="Y964" s="341"/>
      <c r="Z964" s="341"/>
      <c r="AA964" s="341"/>
      <c r="AB964" s="341"/>
      <c r="AC964" s="341"/>
      <c r="AD964" s="341"/>
      <c r="AE964" s="341"/>
    </row>
    <row r="965" ht="12.0" customHeight="1">
      <c r="A965" s="341"/>
      <c r="B965" s="341"/>
      <c r="C965" s="341"/>
      <c r="D965" s="341"/>
      <c r="E965" s="341"/>
      <c r="F965" s="341"/>
      <c r="G965" s="341"/>
      <c r="H965" s="341"/>
      <c r="I965" s="341"/>
      <c r="J965" s="341"/>
      <c r="K965" s="341"/>
      <c r="L965" s="341"/>
      <c r="M965" s="341"/>
      <c r="N965" s="341"/>
      <c r="O965" s="341"/>
      <c r="P965" s="341"/>
      <c r="Q965" s="341"/>
      <c r="R965" s="341"/>
      <c r="S965" s="341"/>
      <c r="T965" s="341"/>
      <c r="U965" s="341"/>
      <c r="V965" s="341"/>
      <c r="W965" s="341"/>
      <c r="X965" s="341"/>
      <c r="Y965" s="341"/>
      <c r="Z965" s="341"/>
      <c r="AA965" s="341"/>
      <c r="AB965" s="341"/>
      <c r="AC965" s="341"/>
      <c r="AD965" s="341"/>
      <c r="AE965" s="341"/>
    </row>
    <row r="966" ht="12.0" customHeight="1">
      <c r="A966" s="341"/>
      <c r="B966" s="341"/>
      <c r="C966" s="341"/>
      <c r="D966" s="341"/>
      <c r="E966" s="341"/>
      <c r="F966" s="341"/>
      <c r="G966" s="341"/>
      <c r="H966" s="341"/>
      <c r="I966" s="341"/>
      <c r="J966" s="341"/>
      <c r="K966" s="341"/>
      <c r="L966" s="341"/>
      <c r="M966" s="341"/>
      <c r="N966" s="341"/>
      <c r="O966" s="341"/>
      <c r="P966" s="341"/>
      <c r="Q966" s="341"/>
      <c r="R966" s="341"/>
      <c r="S966" s="341"/>
      <c r="T966" s="341"/>
      <c r="U966" s="341"/>
      <c r="V966" s="341"/>
      <c r="W966" s="341"/>
      <c r="X966" s="341"/>
      <c r="Y966" s="341"/>
      <c r="Z966" s="341"/>
      <c r="AA966" s="341"/>
      <c r="AB966" s="341"/>
      <c r="AC966" s="341"/>
      <c r="AD966" s="341"/>
      <c r="AE966" s="341"/>
    </row>
    <row r="967" ht="12.0" customHeight="1">
      <c r="A967" s="341"/>
      <c r="B967" s="341"/>
      <c r="C967" s="341"/>
      <c r="D967" s="341"/>
      <c r="E967" s="341"/>
      <c r="F967" s="341"/>
      <c r="G967" s="341"/>
      <c r="H967" s="341"/>
      <c r="I967" s="341"/>
      <c r="J967" s="341"/>
      <c r="K967" s="341"/>
      <c r="L967" s="341"/>
      <c r="M967" s="341"/>
      <c r="N967" s="341"/>
      <c r="O967" s="341"/>
      <c r="P967" s="341"/>
      <c r="Q967" s="341"/>
      <c r="R967" s="341"/>
      <c r="S967" s="341"/>
      <c r="T967" s="341"/>
      <c r="U967" s="341"/>
      <c r="V967" s="341"/>
      <c r="W967" s="341"/>
      <c r="X967" s="341"/>
      <c r="Y967" s="341"/>
      <c r="Z967" s="341"/>
      <c r="AA967" s="341"/>
      <c r="AB967" s="341"/>
      <c r="AC967" s="341"/>
      <c r="AD967" s="341"/>
      <c r="AE967" s="341"/>
    </row>
    <row r="968" ht="12.0" customHeight="1">
      <c r="A968" s="341"/>
      <c r="B968" s="341"/>
      <c r="C968" s="341"/>
      <c r="D968" s="341"/>
      <c r="E968" s="341"/>
      <c r="F968" s="341"/>
      <c r="G968" s="341"/>
      <c r="H968" s="341"/>
      <c r="I968" s="341"/>
      <c r="J968" s="341"/>
      <c r="K968" s="341"/>
      <c r="L968" s="341"/>
      <c r="M968" s="341"/>
      <c r="N968" s="341"/>
      <c r="O968" s="341"/>
      <c r="P968" s="341"/>
      <c r="Q968" s="341"/>
      <c r="R968" s="341"/>
      <c r="S968" s="341"/>
      <c r="T968" s="341"/>
      <c r="U968" s="341"/>
      <c r="V968" s="341"/>
      <c r="W968" s="341"/>
      <c r="X968" s="341"/>
      <c r="Y968" s="341"/>
      <c r="Z968" s="341"/>
      <c r="AA968" s="341"/>
      <c r="AB968" s="341"/>
      <c r="AC968" s="341"/>
      <c r="AD968" s="341"/>
      <c r="AE968" s="341"/>
    </row>
    <row r="969" ht="12.0" customHeight="1">
      <c r="A969" s="341"/>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341"/>
      <c r="AA969" s="341"/>
      <c r="AB969" s="341"/>
      <c r="AC969" s="341"/>
      <c r="AD969" s="341"/>
      <c r="AE969" s="341"/>
    </row>
    <row r="970" ht="12.0" customHeight="1">
      <c r="A970" s="341"/>
      <c r="B970" s="341"/>
      <c r="C970" s="341"/>
      <c r="D970" s="341"/>
      <c r="E970" s="341"/>
      <c r="F970" s="341"/>
      <c r="G970" s="341"/>
      <c r="H970" s="341"/>
      <c r="I970" s="341"/>
      <c r="J970" s="341"/>
      <c r="K970" s="341"/>
      <c r="L970" s="341"/>
      <c r="M970" s="341"/>
      <c r="N970" s="341"/>
      <c r="O970" s="341"/>
      <c r="P970" s="341"/>
      <c r="Q970" s="341"/>
      <c r="R970" s="341"/>
      <c r="S970" s="341"/>
      <c r="T970" s="341"/>
      <c r="U970" s="341"/>
      <c r="V970" s="341"/>
      <c r="W970" s="341"/>
      <c r="X970" s="341"/>
      <c r="Y970" s="341"/>
      <c r="Z970" s="341"/>
      <c r="AA970" s="341"/>
      <c r="AB970" s="341"/>
      <c r="AC970" s="341"/>
      <c r="AD970" s="341"/>
      <c r="AE970" s="341"/>
    </row>
    <row r="971" ht="12.0" customHeight="1">
      <c r="A971" s="341"/>
      <c r="B971" s="341"/>
      <c r="C971" s="341"/>
      <c r="D971" s="341"/>
      <c r="E971" s="341"/>
      <c r="F971" s="341"/>
      <c r="G971" s="341"/>
      <c r="H971" s="341"/>
      <c r="I971" s="341"/>
      <c r="J971" s="341"/>
      <c r="K971" s="341"/>
      <c r="L971" s="341"/>
      <c r="M971" s="341"/>
      <c r="N971" s="341"/>
      <c r="O971" s="341"/>
      <c r="P971" s="341"/>
      <c r="Q971" s="341"/>
      <c r="R971" s="341"/>
      <c r="S971" s="341"/>
      <c r="T971" s="341"/>
      <c r="U971" s="341"/>
      <c r="V971" s="341"/>
      <c r="W971" s="341"/>
      <c r="X971" s="341"/>
      <c r="Y971" s="341"/>
      <c r="Z971" s="341"/>
      <c r="AA971" s="341"/>
      <c r="AB971" s="341"/>
      <c r="AC971" s="341"/>
      <c r="AD971" s="341"/>
      <c r="AE971" s="341"/>
    </row>
    <row r="972" ht="12.0" customHeight="1">
      <c r="A972" s="341"/>
      <c r="B972" s="341"/>
      <c r="C972" s="341"/>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c r="AA972" s="341"/>
      <c r="AB972" s="341"/>
      <c r="AC972" s="341"/>
      <c r="AD972" s="341"/>
      <c r="AE972" s="341"/>
    </row>
    <row r="973" ht="12.0" customHeight="1">
      <c r="A973" s="341"/>
      <c r="B973" s="341"/>
      <c r="C973" s="341"/>
      <c r="D973" s="341"/>
      <c r="E973" s="341"/>
      <c r="F973" s="341"/>
      <c r="G973" s="341"/>
      <c r="H973" s="341"/>
      <c r="I973" s="341"/>
      <c r="J973" s="341"/>
      <c r="K973" s="341"/>
      <c r="L973" s="341"/>
      <c r="M973" s="341"/>
      <c r="N973" s="341"/>
      <c r="O973" s="341"/>
      <c r="P973" s="341"/>
      <c r="Q973" s="341"/>
      <c r="R973" s="341"/>
      <c r="S973" s="341"/>
      <c r="T973" s="341"/>
      <c r="U973" s="341"/>
      <c r="V973" s="341"/>
      <c r="W973" s="341"/>
      <c r="X973" s="341"/>
      <c r="Y973" s="341"/>
      <c r="Z973" s="341"/>
      <c r="AA973" s="341"/>
      <c r="AB973" s="341"/>
      <c r="AC973" s="341"/>
      <c r="AD973" s="341"/>
      <c r="AE973" s="341"/>
    </row>
    <row r="974" ht="12.0" customHeight="1">
      <c r="A974" s="341"/>
      <c r="B974" s="341"/>
      <c r="C974" s="341"/>
      <c r="D974" s="341"/>
      <c r="E974" s="341"/>
      <c r="F974" s="341"/>
      <c r="G974" s="341"/>
      <c r="H974" s="341"/>
      <c r="I974" s="341"/>
      <c r="J974" s="341"/>
      <c r="K974" s="341"/>
      <c r="L974" s="341"/>
      <c r="M974" s="341"/>
      <c r="N974" s="341"/>
      <c r="O974" s="341"/>
      <c r="P974" s="341"/>
      <c r="Q974" s="341"/>
      <c r="R974" s="341"/>
      <c r="S974" s="341"/>
      <c r="T974" s="341"/>
      <c r="U974" s="341"/>
      <c r="V974" s="341"/>
      <c r="W974" s="341"/>
      <c r="X974" s="341"/>
      <c r="Y974" s="341"/>
      <c r="Z974" s="341"/>
      <c r="AA974" s="341"/>
      <c r="AB974" s="341"/>
      <c r="AC974" s="341"/>
      <c r="AD974" s="341"/>
      <c r="AE974" s="341"/>
    </row>
    <row r="975" ht="12.0" customHeight="1">
      <c r="A975" s="341"/>
      <c r="B975" s="341"/>
      <c r="C975" s="341"/>
      <c r="D975" s="341"/>
      <c r="E975" s="341"/>
      <c r="F975" s="341"/>
      <c r="G975" s="341"/>
      <c r="H975" s="341"/>
      <c r="I975" s="341"/>
      <c r="J975" s="341"/>
      <c r="K975" s="341"/>
      <c r="L975" s="341"/>
      <c r="M975" s="341"/>
      <c r="N975" s="341"/>
      <c r="O975" s="341"/>
      <c r="P975" s="341"/>
      <c r="Q975" s="341"/>
      <c r="R975" s="341"/>
      <c r="S975" s="341"/>
      <c r="T975" s="341"/>
      <c r="U975" s="341"/>
      <c r="V975" s="341"/>
      <c r="W975" s="341"/>
      <c r="X975" s="341"/>
      <c r="Y975" s="341"/>
      <c r="Z975" s="341"/>
      <c r="AA975" s="341"/>
      <c r="AB975" s="341"/>
      <c r="AC975" s="341"/>
      <c r="AD975" s="341"/>
      <c r="AE975" s="341"/>
    </row>
    <row r="976" ht="12.0" customHeight="1">
      <c r="A976" s="341"/>
      <c r="B976" s="341"/>
      <c r="C976" s="341"/>
      <c r="D976" s="341"/>
      <c r="E976" s="341"/>
      <c r="F976" s="341"/>
      <c r="G976" s="341"/>
      <c r="H976" s="341"/>
      <c r="I976" s="341"/>
      <c r="J976" s="341"/>
      <c r="K976" s="341"/>
      <c r="L976" s="341"/>
      <c r="M976" s="341"/>
      <c r="N976" s="341"/>
      <c r="O976" s="341"/>
      <c r="P976" s="341"/>
      <c r="Q976" s="341"/>
      <c r="R976" s="341"/>
      <c r="S976" s="341"/>
      <c r="T976" s="341"/>
      <c r="U976" s="341"/>
      <c r="V976" s="341"/>
      <c r="W976" s="341"/>
      <c r="X976" s="341"/>
      <c r="Y976" s="341"/>
      <c r="Z976" s="341"/>
      <c r="AA976" s="341"/>
      <c r="AB976" s="341"/>
      <c r="AC976" s="341"/>
      <c r="AD976" s="341"/>
      <c r="AE976" s="341"/>
    </row>
    <row r="977" ht="12.0" customHeight="1">
      <c r="A977" s="341"/>
      <c r="B977" s="341"/>
      <c r="C977" s="341"/>
      <c r="D977" s="341"/>
      <c r="E977" s="341"/>
      <c r="F977" s="341"/>
      <c r="G977" s="341"/>
      <c r="H977" s="341"/>
      <c r="I977" s="341"/>
      <c r="J977" s="341"/>
      <c r="K977" s="341"/>
      <c r="L977" s="341"/>
      <c r="M977" s="341"/>
      <c r="N977" s="341"/>
      <c r="O977" s="341"/>
      <c r="P977" s="341"/>
      <c r="Q977" s="341"/>
      <c r="R977" s="341"/>
      <c r="S977" s="341"/>
      <c r="T977" s="341"/>
      <c r="U977" s="341"/>
      <c r="V977" s="341"/>
      <c r="W977" s="341"/>
      <c r="X977" s="341"/>
      <c r="Y977" s="341"/>
      <c r="Z977" s="341"/>
      <c r="AA977" s="341"/>
      <c r="AB977" s="341"/>
      <c r="AC977" s="341"/>
      <c r="AD977" s="341"/>
      <c r="AE977" s="341"/>
    </row>
    <row r="978" ht="12.0" customHeight="1">
      <c r="A978" s="341"/>
      <c r="B978" s="341"/>
      <c r="C978" s="341"/>
      <c r="D978" s="341"/>
      <c r="E978" s="341"/>
      <c r="F978" s="341"/>
      <c r="G978" s="341"/>
      <c r="H978" s="341"/>
      <c r="I978" s="341"/>
      <c r="J978" s="341"/>
      <c r="K978" s="341"/>
      <c r="L978" s="341"/>
      <c r="M978" s="341"/>
      <c r="N978" s="341"/>
      <c r="O978" s="341"/>
      <c r="P978" s="341"/>
      <c r="Q978" s="341"/>
      <c r="R978" s="341"/>
      <c r="S978" s="341"/>
      <c r="T978" s="341"/>
      <c r="U978" s="341"/>
      <c r="V978" s="341"/>
      <c r="W978" s="341"/>
      <c r="X978" s="341"/>
      <c r="Y978" s="341"/>
      <c r="Z978" s="341"/>
      <c r="AA978" s="341"/>
      <c r="AB978" s="341"/>
      <c r="AC978" s="341"/>
      <c r="AD978" s="341"/>
      <c r="AE978" s="341"/>
    </row>
    <row r="979" ht="12.0" customHeight="1">
      <c r="A979" s="341"/>
      <c r="B979" s="341"/>
      <c r="C979" s="341"/>
      <c r="D979" s="341"/>
      <c r="E979" s="341"/>
      <c r="F979" s="341"/>
      <c r="G979" s="341"/>
      <c r="H979" s="341"/>
      <c r="I979" s="341"/>
      <c r="J979" s="341"/>
      <c r="K979" s="341"/>
      <c r="L979" s="341"/>
      <c r="M979" s="341"/>
      <c r="N979" s="341"/>
      <c r="O979" s="341"/>
      <c r="P979" s="341"/>
      <c r="Q979" s="341"/>
      <c r="R979" s="341"/>
      <c r="S979" s="341"/>
      <c r="T979" s="341"/>
      <c r="U979" s="341"/>
      <c r="V979" s="341"/>
      <c r="W979" s="341"/>
      <c r="X979" s="341"/>
      <c r="Y979" s="341"/>
      <c r="Z979" s="341"/>
      <c r="AA979" s="341"/>
      <c r="AB979" s="341"/>
      <c r="AC979" s="341"/>
      <c r="AD979" s="341"/>
      <c r="AE979" s="341"/>
    </row>
    <row r="980" ht="12.0" customHeight="1">
      <c r="A980" s="341"/>
      <c r="B980" s="341"/>
      <c r="C980" s="341"/>
      <c r="D980" s="341"/>
      <c r="E980" s="341"/>
      <c r="F980" s="341"/>
      <c r="G980" s="341"/>
      <c r="H980" s="341"/>
      <c r="I980" s="341"/>
      <c r="J980" s="341"/>
      <c r="K980" s="341"/>
      <c r="L980" s="341"/>
      <c r="M980" s="341"/>
      <c r="N980" s="341"/>
      <c r="O980" s="341"/>
      <c r="P980" s="341"/>
      <c r="Q980" s="341"/>
      <c r="R980" s="341"/>
      <c r="S980" s="341"/>
      <c r="T980" s="341"/>
      <c r="U980" s="341"/>
      <c r="V980" s="341"/>
      <c r="W980" s="341"/>
      <c r="X980" s="341"/>
      <c r="Y980" s="341"/>
      <c r="Z980" s="341"/>
      <c r="AA980" s="341"/>
      <c r="AB980" s="341"/>
      <c r="AC980" s="341"/>
      <c r="AD980" s="341"/>
      <c r="AE980" s="341"/>
    </row>
    <row r="981" ht="12.0" customHeight="1">
      <c r="A981" s="341"/>
      <c r="B981" s="341"/>
      <c r="C981" s="341"/>
      <c r="D981" s="341"/>
      <c r="E981" s="341"/>
      <c r="F981" s="341"/>
      <c r="G981" s="341"/>
      <c r="H981" s="341"/>
      <c r="I981" s="341"/>
      <c r="J981" s="341"/>
      <c r="K981" s="341"/>
      <c r="L981" s="341"/>
      <c r="M981" s="341"/>
      <c r="N981" s="341"/>
      <c r="O981" s="341"/>
      <c r="P981" s="341"/>
      <c r="Q981" s="341"/>
      <c r="R981" s="341"/>
      <c r="S981" s="341"/>
      <c r="T981" s="341"/>
      <c r="U981" s="341"/>
      <c r="V981" s="341"/>
      <c r="W981" s="341"/>
      <c r="X981" s="341"/>
      <c r="Y981" s="341"/>
      <c r="Z981" s="341"/>
      <c r="AA981" s="341"/>
      <c r="AB981" s="341"/>
      <c r="AC981" s="341"/>
      <c r="AD981" s="341"/>
      <c r="AE981" s="341"/>
    </row>
    <row r="982" ht="12.0" customHeight="1">
      <c r="A982" s="341"/>
      <c r="B982" s="341"/>
      <c r="C982" s="341"/>
      <c r="D982" s="341"/>
      <c r="E982" s="341"/>
      <c r="F982" s="341"/>
      <c r="G982" s="341"/>
      <c r="H982" s="341"/>
      <c r="I982" s="341"/>
      <c r="J982" s="341"/>
      <c r="K982" s="341"/>
      <c r="L982" s="341"/>
      <c r="M982" s="341"/>
      <c r="N982" s="341"/>
      <c r="O982" s="341"/>
      <c r="P982" s="341"/>
      <c r="Q982" s="341"/>
      <c r="R982" s="341"/>
      <c r="S982" s="341"/>
      <c r="T982" s="341"/>
      <c r="U982" s="341"/>
      <c r="V982" s="341"/>
      <c r="W982" s="341"/>
      <c r="X982" s="341"/>
      <c r="Y982" s="341"/>
      <c r="Z982" s="341"/>
      <c r="AA982" s="341"/>
      <c r="AB982" s="341"/>
      <c r="AC982" s="341"/>
      <c r="AD982" s="341"/>
      <c r="AE982" s="341"/>
    </row>
    <row r="983" ht="12.0" customHeight="1">
      <c r="A983" s="341"/>
      <c r="B983" s="341"/>
      <c r="C983" s="341"/>
      <c r="D983" s="341"/>
      <c r="E983" s="341"/>
      <c r="F983" s="341"/>
      <c r="G983" s="341"/>
      <c r="H983" s="341"/>
      <c r="I983" s="341"/>
      <c r="J983" s="341"/>
      <c r="K983" s="341"/>
      <c r="L983" s="341"/>
      <c r="M983" s="341"/>
      <c r="N983" s="341"/>
      <c r="O983" s="341"/>
      <c r="P983" s="341"/>
      <c r="Q983" s="341"/>
      <c r="R983" s="341"/>
      <c r="S983" s="341"/>
      <c r="T983" s="341"/>
      <c r="U983" s="341"/>
      <c r="V983" s="341"/>
      <c r="W983" s="341"/>
      <c r="X983" s="341"/>
      <c r="Y983" s="341"/>
      <c r="Z983" s="341"/>
      <c r="AA983" s="341"/>
      <c r="AB983" s="341"/>
      <c r="AC983" s="341"/>
      <c r="AD983" s="341"/>
      <c r="AE983" s="341"/>
    </row>
    <row r="984" ht="12.0" customHeight="1">
      <c r="A984" s="341"/>
      <c r="B984" s="341"/>
      <c r="C984" s="341"/>
      <c r="D984" s="341"/>
      <c r="E984" s="341"/>
      <c r="F984" s="341"/>
      <c r="G984" s="341"/>
      <c r="H984" s="341"/>
      <c r="I984" s="341"/>
      <c r="J984" s="341"/>
      <c r="K984" s="341"/>
      <c r="L984" s="341"/>
      <c r="M984" s="341"/>
      <c r="N984" s="341"/>
      <c r="O984" s="341"/>
      <c r="P984" s="341"/>
      <c r="Q984" s="341"/>
      <c r="R984" s="341"/>
      <c r="S984" s="341"/>
      <c r="T984" s="341"/>
      <c r="U984" s="341"/>
      <c r="V984" s="341"/>
      <c r="W984" s="341"/>
      <c r="X984" s="341"/>
      <c r="Y984" s="341"/>
      <c r="Z984" s="341"/>
      <c r="AA984" s="341"/>
      <c r="AB984" s="341"/>
      <c r="AC984" s="341"/>
      <c r="AD984" s="341"/>
      <c r="AE984" s="341"/>
    </row>
    <row r="985" ht="12.0" customHeight="1">
      <c r="A985" s="341"/>
      <c r="B985" s="341"/>
      <c r="C985" s="341"/>
      <c r="D985" s="341"/>
      <c r="E985" s="341"/>
      <c r="F985" s="341"/>
      <c r="G985" s="341"/>
      <c r="H985" s="341"/>
      <c r="I985" s="341"/>
      <c r="J985" s="341"/>
      <c r="K985" s="341"/>
      <c r="L985" s="341"/>
      <c r="M985" s="341"/>
      <c r="N985" s="341"/>
      <c r="O985" s="341"/>
      <c r="P985" s="341"/>
      <c r="Q985" s="341"/>
      <c r="R985" s="341"/>
      <c r="S985" s="341"/>
      <c r="T985" s="341"/>
      <c r="U985" s="341"/>
      <c r="V985" s="341"/>
      <c r="W985" s="341"/>
      <c r="X985" s="341"/>
      <c r="Y985" s="341"/>
      <c r="Z985" s="341"/>
      <c r="AA985" s="341"/>
      <c r="AB985" s="341"/>
      <c r="AC985" s="341"/>
      <c r="AD985" s="341"/>
      <c r="AE985" s="341"/>
    </row>
    <row r="986" ht="12.0" customHeight="1">
      <c r="A986" s="341"/>
      <c r="B986" s="341"/>
      <c r="C986" s="341"/>
      <c r="D986" s="341"/>
      <c r="E986" s="341"/>
      <c r="F986" s="341"/>
      <c r="G986" s="341"/>
      <c r="H986" s="341"/>
      <c r="I986" s="341"/>
      <c r="J986" s="341"/>
      <c r="K986" s="341"/>
      <c r="L986" s="341"/>
      <c r="M986" s="341"/>
      <c r="N986" s="341"/>
      <c r="O986" s="341"/>
      <c r="P986" s="341"/>
      <c r="Q986" s="341"/>
      <c r="R986" s="341"/>
      <c r="S986" s="341"/>
      <c r="T986" s="341"/>
      <c r="U986" s="341"/>
      <c r="V986" s="341"/>
      <c r="W986" s="341"/>
      <c r="X986" s="341"/>
      <c r="Y986" s="341"/>
      <c r="Z986" s="341"/>
      <c r="AA986" s="341"/>
      <c r="AB986" s="341"/>
      <c r="AC986" s="341"/>
      <c r="AD986" s="341"/>
      <c r="AE986" s="341"/>
    </row>
    <row r="987" ht="12.0" customHeight="1">
      <c r="A987" s="341"/>
      <c r="B987" s="341"/>
      <c r="C987" s="341"/>
      <c r="D987" s="341"/>
      <c r="E987" s="341"/>
      <c r="F987" s="341"/>
      <c r="G987" s="341"/>
      <c r="H987" s="341"/>
      <c r="I987" s="341"/>
      <c r="J987" s="341"/>
      <c r="K987" s="341"/>
      <c r="L987" s="341"/>
      <c r="M987" s="341"/>
      <c r="N987" s="341"/>
      <c r="O987" s="341"/>
      <c r="P987" s="341"/>
      <c r="Q987" s="341"/>
      <c r="R987" s="341"/>
      <c r="S987" s="341"/>
      <c r="T987" s="341"/>
      <c r="U987" s="341"/>
      <c r="V987" s="341"/>
      <c r="W987" s="341"/>
      <c r="X987" s="341"/>
      <c r="Y987" s="341"/>
      <c r="Z987" s="341"/>
      <c r="AA987" s="341"/>
      <c r="AB987" s="341"/>
      <c r="AC987" s="341"/>
      <c r="AD987" s="341"/>
      <c r="AE987" s="341"/>
    </row>
    <row r="988" ht="12.0" customHeight="1">
      <c r="A988" s="341"/>
      <c r="B988" s="341"/>
      <c r="C988" s="341"/>
      <c r="D988" s="341"/>
      <c r="E988" s="341"/>
      <c r="F988" s="341"/>
      <c r="G988" s="341"/>
      <c r="H988" s="341"/>
      <c r="I988" s="341"/>
      <c r="J988" s="341"/>
      <c r="K988" s="341"/>
      <c r="L988" s="341"/>
      <c r="M988" s="341"/>
      <c r="N988" s="341"/>
      <c r="O988" s="341"/>
      <c r="P988" s="341"/>
      <c r="Q988" s="341"/>
      <c r="R988" s="341"/>
      <c r="S988" s="341"/>
      <c r="T988" s="341"/>
      <c r="U988" s="341"/>
      <c r="V988" s="341"/>
      <c r="W988" s="341"/>
      <c r="X988" s="341"/>
      <c r="Y988" s="341"/>
      <c r="Z988" s="341"/>
      <c r="AA988" s="341"/>
      <c r="AB988" s="341"/>
      <c r="AC988" s="341"/>
      <c r="AD988" s="341"/>
      <c r="AE988" s="341"/>
    </row>
    <row r="989" ht="12.0" customHeight="1">
      <c r="A989" s="341"/>
      <c r="B989" s="341"/>
      <c r="C989" s="341"/>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row>
    <row r="990" ht="12.0" customHeight="1">
      <c r="A990" s="341"/>
      <c r="B990" s="341"/>
      <c r="C990" s="341"/>
      <c r="D990" s="341"/>
      <c r="E990" s="341"/>
      <c r="F990" s="341"/>
      <c r="G990" s="341"/>
      <c r="H990" s="341"/>
      <c r="I990" s="341"/>
      <c r="J990" s="341"/>
      <c r="K990" s="341"/>
      <c r="L990" s="341"/>
      <c r="M990" s="341"/>
      <c r="N990" s="341"/>
      <c r="O990" s="341"/>
      <c r="P990" s="341"/>
      <c r="Q990" s="341"/>
      <c r="R990" s="341"/>
      <c r="S990" s="341"/>
      <c r="T990" s="341"/>
      <c r="U990" s="341"/>
      <c r="V990" s="341"/>
      <c r="W990" s="341"/>
      <c r="X990" s="341"/>
      <c r="Y990" s="341"/>
      <c r="Z990" s="341"/>
      <c r="AA990" s="341"/>
      <c r="AB990" s="341"/>
      <c r="AC990" s="341"/>
      <c r="AD990" s="341"/>
      <c r="AE990" s="341"/>
    </row>
    <row r="991" ht="12.0" customHeight="1">
      <c r="A991" s="341"/>
      <c r="B991" s="341"/>
      <c r="C991" s="341"/>
      <c r="D991" s="341"/>
      <c r="E991" s="341"/>
      <c r="F991" s="341"/>
      <c r="G991" s="341"/>
      <c r="H991" s="341"/>
      <c r="I991" s="341"/>
      <c r="J991" s="341"/>
      <c r="K991" s="341"/>
      <c r="L991" s="341"/>
      <c r="M991" s="341"/>
      <c r="N991" s="341"/>
      <c r="O991" s="341"/>
      <c r="P991" s="341"/>
      <c r="Q991" s="341"/>
      <c r="R991" s="341"/>
      <c r="S991" s="341"/>
      <c r="T991" s="341"/>
      <c r="U991" s="341"/>
      <c r="V991" s="341"/>
      <c r="W991" s="341"/>
      <c r="X991" s="341"/>
      <c r="Y991" s="341"/>
      <c r="Z991" s="341"/>
      <c r="AA991" s="341"/>
      <c r="AB991" s="341"/>
      <c r="AC991" s="341"/>
      <c r="AD991" s="341"/>
      <c r="AE991" s="341"/>
    </row>
    <row r="992" ht="12.0" customHeight="1">
      <c r="A992" s="341"/>
      <c r="B992" s="341"/>
      <c r="C992" s="341"/>
      <c r="D992" s="341"/>
      <c r="E992" s="341"/>
      <c r="F992" s="341"/>
      <c r="G992" s="341"/>
      <c r="H992" s="341"/>
      <c r="I992" s="341"/>
      <c r="J992" s="341"/>
      <c r="K992" s="341"/>
      <c r="L992" s="341"/>
      <c r="M992" s="341"/>
      <c r="N992" s="341"/>
      <c r="O992" s="341"/>
      <c r="P992" s="341"/>
      <c r="Q992" s="341"/>
      <c r="R992" s="341"/>
      <c r="S992" s="341"/>
      <c r="T992" s="341"/>
      <c r="U992" s="341"/>
      <c r="V992" s="341"/>
      <c r="W992" s="341"/>
      <c r="X992" s="341"/>
      <c r="Y992" s="341"/>
      <c r="Z992" s="341"/>
      <c r="AA992" s="341"/>
      <c r="AB992" s="341"/>
      <c r="AC992" s="341"/>
      <c r="AD992" s="341"/>
      <c r="AE992" s="341"/>
    </row>
    <row r="993" ht="12.0" customHeight="1">
      <c r="A993" s="341"/>
      <c r="B993" s="341"/>
      <c r="C993" s="341"/>
      <c r="D993" s="341"/>
      <c r="E993" s="341"/>
      <c r="F993" s="341"/>
      <c r="G993" s="341"/>
      <c r="H993" s="341"/>
      <c r="I993" s="341"/>
      <c r="J993" s="341"/>
      <c r="K993" s="341"/>
      <c r="L993" s="341"/>
      <c r="M993" s="341"/>
      <c r="N993" s="341"/>
      <c r="O993" s="341"/>
      <c r="P993" s="341"/>
      <c r="Q993" s="341"/>
      <c r="R993" s="341"/>
      <c r="S993" s="341"/>
      <c r="T993" s="341"/>
      <c r="U993" s="341"/>
      <c r="V993" s="341"/>
      <c r="W993" s="341"/>
      <c r="X993" s="341"/>
      <c r="Y993" s="341"/>
      <c r="Z993" s="341"/>
      <c r="AA993" s="341"/>
      <c r="AB993" s="341"/>
      <c r="AC993" s="341"/>
      <c r="AD993" s="341"/>
      <c r="AE993" s="341"/>
    </row>
    <row r="994" ht="12.0" customHeight="1">
      <c r="A994" s="341"/>
      <c r="B994" s="341"/>
      <c r="C994" s="341"/>
      <c r="D994" s="341"/>
      <c r="E994" s="341"/>
      <c r="F994" s="341"/>
      <c r="G994" s="341"/>
      <c r="H994" s="341"/>
      <c r="I994" s="341"/>
      <c r="J994" s="341"/>
      <c r="K994" s="341"/>
      <c r="L994" s="341"/>
      <c r="M994" s="341"/>
      <c r="N994" s="341"/>
      <c r="O994" s="341"/>
      <c r="P994" s="341"/>
      <c r="Q994" s="341"/>
      <c r="R994" s="341"/>
      <c r="S994" s="341"/>
      <c r="T994" s="341"/>
      <c r="U994" s="341"/>
      <c r="V994" s="341"/>
      <c r="W994" s="341"/>
      <c r="X994" s="341"/>
      <c r="Y994" s="341"/>
      <c r="Z994" s="341"/>
      <c r="AA994" s="341"/>
      <c r="AB994" s="341"/>
      <c r="AC994" s="341"/>
      <c r="AD994" s="341"/>
      <c r="AE994" s="341"/>
    </row>
    <row r="995" ht="12.0" customHeight="1">
      <c r="A995" s="341"/>
      <c r="B995" s="341"/>
      <c r="C995" s="341"/>
      <c r="D995" s="341"/>
      <c r="E995" s="341"/>
      <c r="F995" s="341"/>
      <c r="G995" s="341"/>
      <c r="H995" s="341"/>
      <c r="I995" s="341"/>
      <c r="J995" s="341"/>
      <c r="K995" s="341"/>
      <c r="L995" s="341"/>
      <c r="M995" s="341"/>
      <c r="N995" s="341"/>
      <c r="O995" s="341"/>
      <c r="P995" s="341"/>
      <c r="Q995" s="341"/>
      <c r="R995" s="341"/>
      <c r="S995" s="341"/>
      <c r="T995" s="341"/>
      <c r="U995" s="341"/>
      <c r="V995" s="341"/>
      <c r="W995" s="341"/>
      <c r="X995" s="341"/>
      <c r="Y995" s="341"/>
      <c r="Z995" s="341"/>
      <c r="AA995" s="341"/>
      <c r="AB995" s="341"/>
      <c r="AC995" s="341"/>
      <c r="AD995" s="341"/>
      <c r="AE995" s="341"/>
    </row>
    <row r="996" ht="12.0" customHeight="1">
      <c r="A996" s="341"/>
      <c r="B996" s="341"/>
      <c r="C996" s="341"/>
      <c r="D996" s="341"/>
      <c r="E996" s="341"/>
      <c r="F996" s="341"/>
      <c r="G996" s="341"/>
      <c r="H996" s="341"/>
      <c r="I996" s="341"/>
      <c r="J996" s="341"/>
      <c r="K996" s="341"/>
      <c r="L996" s="341"/>
      <c r="M996" s="341"/>
      <c r="N996" s="341"/>
      <c r="O996" s="341"/>
      <c r="P996" s="341"/>
      <c r="Q996" s="341"/>
      <c r="R996" s="341"/>
      <c r="S996" s="341"/>
      <c r="T996" s="341"/>
      <c r="U996" s="341"/>
      <c r="V996" s="341"/>
      <c r="W996" s="341"/>
      <c r="X996" s="341"/>
      <c r="Y996" s="341"/>
      <c r="Z996" s="341"/>
      <c r="AA996" s="341"/>
      <c r="AB996" s="341"/>
      <c r="AC996" s="341"/>
      <c r="AD996" s="341"/>
      <c r="AE996" s="341"/>
    </row>
    <row r="997" ht="12.0" customHeight="1">
      <c r="A997" s="341"/>
      <c r="B997" s="341"/>
      <c r="C997" s="341"/>
      <c r="D997" s="341"/>
      <c r="E997" s="341"/>
      <c r="F997" s="341"/>
      <c r="G997" s="341"/>
      <c r="H997" s="341"/>
      <c r="I997" s="341"/>
      <c r="J997" s="341"/>
      <c r="K997" s="341"/>
      <c r="L997" s="341"/>
      <c r="M997" s="341"/>
      <c r="N997" s="341"/>
      <c r="O997" s="341"/>
      <c r="P997" s="341"/>
      <c r="Q997" s="341"/>
      <c r="R997" s="341"/>
      <c r="S997" s="341"/>
      <c r="T997" s="341"/>
      <c r="U997" s="341"/>
      <c r="V997" s="341"/>
      <c r="W997" s="341"/>
      <c r="X997" s="341"/>
      <c r="Y997" s="341"/>
      <c r="Z997" s="341"/>
      <c r="AA997" s="341"/>
      <c r="AB997" s="341"/>
      <c r="AC997" s="341"/>
      <c r="AD997" s="341"/>
      <c r="AE997" s="341"/>
    </row>
    <row r="998" ht="12.0" customHeight="1">
      <c r="A998" s="341"/>
      <c r="B998" s="341"/>
      <c r="C998" s="341"/>
      <c r="D998" s="341"/>
      <c r="E998" s="341"/>
      <c r="F998" s="341"/>
      <c r="G998" s="341"/>
      <c r="H998" s="341"/>
      <c r="I998" s="341"/>
      <c r="J998" s="341"/>
      <c r="K998" s="341"/>
      <c r="L998" s="341"/>
      <c r="M998" s="341"/>
      <c r="N998" s="341"/>
      <c r="O998" s="341"/>
      <c r="P998" s="341"/>
      <c r="Q998" s="341"/>
      <c r="R998" s="341"/>
      <c r="S998" s="341"/>
      <c r="T998" s="341"/>
      <c r="U998" s="341"/>
      <c r="V998" s="341"/>
      <c r="W998" s="341"/>
      <c r="X998" s="341"/>
      <c r="Y998" s="341"/>
      <c r="Z998" s="341"/>
      <c r="AA998" s="341"/>
      <c r="AB998" s="341"/>
      <c r="AC998" s="341"/>
      <c r="AD998" s="341"/>
      <c r="AE998" s="341"/>
    </row>
    <row r="999" ht="12.0" customHeight="1">
      <c r="A999" s="341"/>
      <c r="B999" s="341"/>
      <c r="C999" s="341"/>
      <c r="D999" s="341"/>
      <c r="E999" s="341"/>
      <c r="F999" s="341"/>
      <c r="G999" s="341"/>
      <c r="H999" s="341"/>
      <c r="I999" s="341"/>
      <c r="J999" s="341"/>
      <c r="K999" s="341"/>
      <c r="L999" s="341"/>
      <c r="M999" s="341"/>
      <c r="N999" s="341"/>
      <c r="O999" s="341"/>
      <c r="P999" s="341"/>
      <c r="Q999" s="341"/>
      <c r="R999" s="341"/>
      <c r="S999" s="341"/>
      <c r="T999" s="341"/>
      <c r="U999" s="341"/>
      <c r="V999" s="341"/>
      <c r="W999" s="341"/>
      <c r="X999" s="341"/>
      <c r="Y999" s="341"/>
      <c r="Z999" s="341"/>
      <c r="AA999" s="341"/>
      <c r="AB999" s="341"/>
      <c r="AC999" s="341"/>
      <c r="AD999" s="341"/>
      <c r="AE999" s="341"/>
    </row>
    <row r="1000" ht="12.0" customHeight="1">
      <c r="A1000" s="341"/>
      <c r="B1000" s="341"/>
      <c r="C1000" s="341"/>
      <c r="D1000" s="341"/>
      <c r="E1000" s="341"/>
      <c r="F1000" s="341"/>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c r="AA1000" s="341"/>
      <c r="AB1000" s="341"/>
      <c r="AC1000" s="341"/>
      <c r="AD1000" s="341"/>
      <c r="AE1000" s="341"/>
    </row>
  </sheetData>
  <mergeCells count="11">
    <mergeCell ref="B77:G78"/>
    <mergeCell ref="P79:R80"/>
    <mergeCell ref="A84:O87"/>
    <mergeCell ref="X89:Y89"/>
    <mergeCell ref="A1:D1"/>
    <mergeCell ref="E1:G1"/>
    <mergeCell ref="J1:K1"/>
    <mergeCell ref="L1:M1"/>
    <mergeCell ref="T62:AE62"/>
    <mergeCell ref="B63:O68"/>
    <mergeCell ref="B70:G70"/>
  </mergeCells>
  <hyperlinks>
    <hyperlink display="Table 2 - Charter Holder Total Charter School Counts (only calculated if one or more criteria are checked on the Data Entry Tab)" location="'Data Entry'!B22" ref="C31"/>
    <hyperlink r:id="rId1" ref="B57"/>
    <hyperlink r:id="rId2" ref="B58"/>
    <hyperlink r:id="rId3" ref="B59"/>
    <hyperlink display="PercentStatewideWeightedStudentCount" location="PercentStatewideWeightedStudentCount" ref="B89"/>
  </hyperlinks>
  <printOptions horizontalCentered="1"/>
  <pageMargins bottom="0.25" footer="0.0" header="0.0" left="0.2" right="0.2" top="0.25"/>
  <pageSetup paperSize="5" orientation="portrait"/>
  <headerFooter>
    <oddFooter>&amp;LRev. 5/24 Arizona Department of Education and Auditor General&amp;RCalculations</oddFooter>
  </headerFooter>
  <colBreaks count="1" manualBreakCount="1">
    <brk id="15" man="1"/>
  </colBreaks>
  <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63"/>
    <col customWidth="1" min="2" max="5" width="22.38"/>
    <col customWidth="1" min="6" max="6" width="17.38"/>
    <col customWidth="1" min="7" max="7" width="22.38"/>
    <col customWidth="1" min="8" max="8" width="17.63"/>
    <col customWidth="1" min="9" max="9" width="14.38"/>
    <col customWidth="1" min="10" max="10" width="14.63"/>
    <col customWidth="1" min="11" max="26" width="9.0"/>
  </cols>
  <sheetData>
    <row r="1" ht="12.75" customHeight="1">
      <c r="A1" s="268" t="s">
        <v>0</v>
      </c>
      <c r="B1" s="64" t="str">
        <f>CharterName</f>
        <v>Western School of Science and Technology</v>
      </c>
      <c r="C1" s="3"/>
      <c r="D1" s="268" t="s">
        <v>2</v>
      </c>
      <c r="E1" s="64" t="str">
        <f>Cover!M1</f>
        <v>Maricopa</v>
      </c>
      <c r="F1" s="3"/>
      <c r="G1" s="3"/>
      <c r="H1" s="268" t="s">
        <v>4</v>
      </c>
      <c r="I1" s="5" t="str">
        <f>CTD</f>
        <v>078221000</v>
      </c>
      <c r="J1" s="3"/>
      <c r="K1" s="39"/>
      <c r="L1" s="39"/>
      <c r="M1" s="39"/>
      <c r="N1" s="39"/>
      <c r="O1" s="39"/>
      <c r="P1" s="39"/>
      <c r="Q1" s="39"/>
      <c r="R1" s="39"/>
      <c r="S1" s="39"/>
      <c r="T1" s="39"/>
      <c r="U1" s="39"/>
      <c r="V1" s="39"/>
      <c r="W1" s="39"/>
      <c r="X1" s="39"/>
      <c r="Y1" s="39"/>
      <c r="Z1" s="39"/>
    </row>
    <row r="2" ht="12.75" customHeight="1">
      <c r="A2" s="268"/>
      <c r="B2" s="25"/>
      <c r="C2" s="10"/>
      <c r="D2" s="268"/>
      <c r="E2" s="25"/>
      <c r="F2" s="10"/>
      <c r="G2" s="10"/>
      <c r="I2" s="268"/>
      <c r="J2" s="10"/>
      <c r="K2" s="39"/>
      <c r="L2" s="39"/>
      <c r="M2" s="39"/>
      <c r="N2" s="39"/>
      <c r="O2" s="39"/>
      <c r="P2" s="39"/>
      <c r="Q2" s="39"/>
      <c r="R2" s="39"/>
      <c r="S2" s="39"/>
      <c r="T2" s="39"/>
      <c r="U2" s="39"/>
      <c r="V2" s="39"/>
      <c r="W2" s="39"/>
      <c r="X2" s="39"/>
      <c r="Y2" s="39"/>
      <c r="Z2" s="39"/>
    </row>
    <row r="3" ht="12.75" customHeight="1">
      <c r="A3" s="340" t="str">
        <f>IF(CharterName&lt;&gt;0,CharterName,"")</f>
        <v>Western School of Science and Technology</v>
      </c>
      <c r="K3" s="39"/>
      <c r="L3" s="39"/>
      <c r="M3" s="39"/>
      <c r="N3" s="39"/>
      <c r="O3" s="39"/>
      <c r="P3" s="39"/>
      <c r="Q3" s="39"/>
      <c r="R3" s="39"/>
      <c r="S3" s="39"/>
      <c r="T3" s="39"/>
      <c r="U3" s="39"/>
      <c r="V3" s="39"/>
      <c r="W3" s="39"/>
      <c r="X3" s="39"/>
      <c r="Y3" s="39"/>
      <c r="Z3" s="39"/>
    </row>
    <row r="4" ht="12.75" customHeight="1">
      <c r="A4" s="4" t="s">
        <v>475</v>
      </c>
      <c r="K4" s="39"/>
      <c r="L4" s="39"/>
      <c r="M4" s="39"/>
      <c r="N4" s="39"/>
      <c r="O4" s="39"/>
      <c r="P4" s="39"/>
      <c r="Q4" s="39"/>
      <c r="R4" s="39"/>
      <c r="S4" s="39"/>
      <c r="T4" s="39"/>
      <c r="U4" s="39"/>
      <c r="V4" s="39"/>
      <c r="W4" s="39"/>
      <c r="X4" s="39"/>
      <c r="Y4" s="39"/>
      <c r="Z4" s="39"/>
    </row>
    <row r="5" ht="12.75" customHeight="1">
      <c r="A5" s="4" t="s">
        <v>8</v>
      </c>
      <c r="K5" s="39"/>
      <c r="L5" s="39"/>
      <c r="M5" s="39"/>
      <c r="N5" s="39"/>
      <c r="O5" s="39"/>
      <c r="P5" s="39"/>
      <c r="Q5" s="39"/>
      <c r="R5" s="39"/>
      <c r="S5" s="39"/>
      <c r="T5" s="39"/>
      <c r="U5" s="39"/>
      <c r="V5" s="39"/>
      <c r="W5" s="39"/>
      <c r="X5" s="39"/>
      <c r="Y5" s="39"/>
      <c r="Z5" s="39"/>
    </row>
    <row r="6" ht="12.75" customHeight="1">
      <c r="A6" s="422"/>
      <c r="B6" s="422"/>
      <c r="C6" s="422"/>
      <c r="D6" s="422"/>
      <c r="E6" s="422"/>
      <c r="F6" s="422"/>
      <c r="G6" s="422"/>
      <c r="H6" s="422"/>
      <c r="I6" s="422"/>
      <c r="J6" s="423" t="s">
        <v>476</v>
      </c>
      <c r="K6" s="39"/>
      <c r="L6" s="39"/>
      <c r="M6" s="39"/>
      <c r="N6" s="39"/>
      <c r="O6" s="39"/>
      <c r="P6" s="39"/>
      <c r="Q6" s="39"/>
      <c r="R6" s="39"/>
      <c r="S6" s="39"/>
      <c r="T6" s="39"/>
      <c r="U6" s="39"/>
      <c r="V6" s="39"/>
      <c r="W6" s="39"/>
      <c r="X6" s="39"/>
      <c r="Y6" s="39"/>
      <c r="Z6" s="39"/>
    </row>
    <row r="7" ht="12.75" customHeight="1">
      <c r="A7" s="4" t="s">
        <v>477</v>
      </c>
      <c r="B7" s="424" t="s">
        <v>478</v>
      </c>
      <c r="C7" s="424" t="s">
        <v>479</v>
      </c>
      <c r="D7" s="424" t="s">
        <v>480</v>
      </c>
      <c r="E7" s="424" t="s">
        <v>481</v>
      </c>
      <c r="F7" s="424" t="s">
        <v>482</v>
      </c>
      <c r="G7" s="424" t="s">
        <v>483</v>
      </c>
      <c r="H7" s="424" t="s">
        <v>484</v>
      </c>
      <c r="K7" s="39"/>
      <c r="L7" s="39"/>
      <c r="M7" s="39"/>
      <c r="N7" s="39"/>
      <c r="O7" s="39"/>
      <c r="P7" s="39"/>
      <c r="Q7" s="39"/>
      <c r="R7" s="39"/>
      <c r="S7" s="39"/>
      <c r="T7" s="39"/>
      <c r="U7" s="39"/>
      <c r="V7" s="39"/>
      <c r="W7" s="39"/>
      <c r="X7" s="39"/>
      <c r="Y7" s="39"/>
      <c r="Z7" s="39"/>
    </row>
    <row r="8" ht="12.75" customHeight="1">
      <c r="A8" s="425" t="s">
        <v>385</v>
      </c>
      <c r="B8" s="426" t="str">
        <f>NonAOIStudCntPSDCY</f>
        <v/>
      </c>
      <c r="C8" s="426">
        <v>0.0</v>
      </c>
      <c r="D8" s="426">
        <v>0.0</v>
      </c>
      <c r="E8" s="426">
        <f>IF(AND(B8=0,C8=0,D8=0),0,1.45)</f>
        <v>0</v>
      </c>
      <c r="F8" s="426">
        <f t="shared" ref="F8:F10" si="1">B8*E8</f>
        <v>0</v>
      </c>
      <c r="G8" s="426">
        <f t="shared" ref="G8:G10" si="2">E8*C8</f>
        <v>0</v>
      </c>
      <c r="H8" s="426">
        <f t="shared" ref="H8:H10" si="3">E8*D8</f>
        <v>0</v>
      </c>
      <c r="K8" s="39"/>
      <c r="L8" s="39"/>
      <c r="M8" s="39"/>
      <c r="N8" s="39"/>
      <c r="O8" s="39"/>
      <c r="P8" s="39"/>
      <c r="Q8" s="39"/>
      <c r="R8" s="39"/>
      <c r="S8" s="39"/>
      <c r="T8" s="39"/>
      <c r="U8" s="39"/>
      <c r="V8" s="39"/>
      <c r="W8" s="39"/>
      <c r="X8" s="39"/>
      <c r="Y8" s="39"/>
      <c r="Z8" s="39"/>
    </row>
    <row r="9" ht="12.75" customHeight="1">
      <c r="A9" s="425" t="s">
        <v>485</v>
      </c>
      <c r="B9" s="426">
        <f>NonAOIStudCntK8CY</f>
        <v>140</v>
      </c>
      <c r="C9" s="426" t="str">
        <f>AOIFTStudCntK8CY</f>
        <v/>
      </c>
      <c r="D9" s="426" t="str">
        <f>AOIPTStudCntK8CY</f>
        <v/>
      </c>
      <c r="E9" s="426">
        <f>IF(AND(B9=0,C9=0,D9=0),0,IF(OR('Data Entry'!B8="X",'Data Entry'!B9="X",'Data Entry'!B10="X",'Data Entry'!B11="X"),Calculations!L58,Calculations!L57))</f>
        <v>1.386</v>
      </c>
      <c r="F9" s="426">
        <f t="shared" si="1"/>
        <v>194.04</v>
      </c>
      <c r="G9" s="426">
        <f t="shared" si="2"/>
        <v>0</v>
      </c>
      <c r="H9" s="426">
        <f t="shared" si="3"/>
        <v>0</v>
      </c>
      <c r="K9" s="39"/>
      <c r="L9" s="39"/>
      <c r="M9" s="39"/>
      <c r="N9" s="39"/>
      <c r="O9" s="39"/>
      <c r="P9" s="39"/>
      <c r="Q9" s="39"/>
      <c r="R9" s="39"/>
      <c r="S9" s="39"/>
      <c r="T9" s="39"/>
      <c r="U9" s="39"/>
      <c r="V9" s="39"/>
      <c r="W9" s="39"/>
      <c r="X9" s="39"/>
      <c r="Y9" s="39"/>
      <c r="Z9" s="39"/>
    </row>
    <row r="10" ht="12.75" customHeight="1">
      <c r="A10" s="425" t="s">
        <v>387</v>
      </c>
      <c r="B10" s="426">
        <f>NonAOIStudCnt912CY</f>
        <v>380</v>
      </c>
      <c r="C10" s="426" t="str">
        <f>AOIFTStudCnt912CY</f>
        <v/>
      </c>
      <c r="D10" s="426" t="str">
        <f>AOIPTStudCnt912CY</f>
        <v/>
      </c>
      <c r="E10" s="426">
        <f>IF(AND(B10=0,C10=0,D10=0),0,IF(OR('Data Entry'!B8="X",'Data Entry'!B9="X",'Data Entry'!B10="X",'Data Entry'!B11="X"),Calculations!N58,Calculations!N57))</f>
        <v>1.446</v>
      </c>
      <c r="F10" s="426">
        <f t="shared" si="1"/>
        <v>549.48</v>
      </c>
      <c r="G10" s="426">
        <f t="shared" si="2"/>
        <v>0</v>
      </c>
      <c r="H10" s="426">
        <f t="shared" si="3"/>
        <v>0</v>
      </c>
      <c r="K10" s="39"/>
      <c r="L10" s="39"/>
      <c r="M10" s="39"/>
      <c r="N10" s="39"/>
      <c r="O10" s="39"/>
      <c r="P10" s="39"/>
      <c r="Q10" s="39"/>
      <c r="R10" s="39"/>
      <c r="S10" s="39"/>
      <c r="T10" s="39"/>
      <c r="U10" s="39"/>
      <c r="V10" s="39"/>
      <c r="W10" s="39"/>
      <c r="X10" s="39"/>
      <c r="Y10" s="39"/>
      <c r="Z10" s="39"/>
    </row>
    <row r="11" ht="12.75" customHeight="1">
      <c r="A11" s="278" t="s">
        <v>486</v>
      </c>
      <c r="B11" s="427">
        <f t="shared" ref="B11:D11" si="4">SUM(B8:B10)</f>
        <v>520</v>
      </c>
      <c r="C11" s="428">
        <f t="shared" si="4"/>
        <v>0</v>
      </c>
      <c r="D11" s="428">
        <f t="shared" si="4"/>
        <v>0</v>
      </c>
      <c r="E11" s="429"/>
      <c r="F11" s="429"/>
      <c r="G11" s="429"/>
      <c r="H11" s="429"/>
      <c r="K11" s="39"/>
      <c r="L11" s="39"/>
      <c r="M11" s="39"/>
      <c r="N11" s="39"/>
      <c r="O11" s="39"/>
      <c r="P11" s="39"/>
      <c r="Q11" s="39"/>
      <c r="R11" s="39"/>
      <c r="S11" s="39"/>
      <c r="T11" s="39"/>
      <c r="U11" s="39"/>
      <c r="V11" s="39"/>
      <c r="W11" s="39"/>
      <c r="X11" s="39"/>
      <c r="Y11" s="39"/>
      <c r="Z11" s="39"/>
    </row>
    <row r="12" ht="12.75" customHeight="1">
      <c r="A12" s="430" t="s">
        <v>487</v>
      </c>
      <c r="B12" s="431"/>
      <c r="C12" s="429"/>
      <c r="D12" s="428">
        <f>SUM(B11:D11)</f>
        <v>520</v>
      </c>
      <c r="E12" s="429"/>
      <c r="F12" s="429"/>
      <c r="G12" s="429"/>
      <c r="H12" s="429"/>
      <c r="K12" s="39"/>
      <c r="L12" s="39"/>
      <c r="M12" s="39"/>
      <c r="N12" s="39"/>
      <c r="O12" s="39"/>
      <c r="P12" s="39"/>
      <c r="Q12" s="39"/>
      <c r="R12" s="39"/>
      <c r="S12" s="39"/>
      <c r="T12" s="39"/>
      <c r="U12" s="39"/>
      <c r="V12" s="39"/>
      <c r="W12" s="39"/>
      <c r="X12" s="39"/>
      <c r="Y12" s="39"/>
      <c r="Z12" s="39"/>
    </row>
    <row r="13" ht="12.75" customHeight="1">
      <c r="A13" s="50" t="s">
        <v>488</v>
      </c>
      <c r="B13" s="432"/>
      <c r="C13" s="429"/>
      <c r="D13" s="429"/>
      <c r="E13" s="429"/>
      <c r="F13" s="428">
        <f>((B8*E8)+(B9*E9)+(B10*E10))</f>
        <v>743.52</v>
      </c>
      <c r="G13" s="428">
        <f>((C8*E8)+(C9*E9)+(C10*E10))</f>
        <v>0</v>
      </c>
      <c r="H13" s="428">
        <f>((D8*E8)+(D9*E9)+(D10*E10))</f>
        <v>0</v>
      </c>
      <c r="K13" s="39"/>
      <c r="L13" s="39"/>
      <c r="M13" s="39"/>
      <c r="N13" s="39"/>
      <c r="O13" s="39"/>
      <c r="P13" s="39"/>
      <c r="Q13" s="39"/>
      <c r="R13" s="39"/>
      <c r="S13" s="39"/>
      <c r="T13" s="39"/>
      <c r="U13" s="39"/>
      <c r="V13" s="39"/>
      <c r="W13" s="39"/>
      <c r="X13" s="39"/>
      <c r="Y13" s="39"/>
      <c r="Z13" s="39"/>
    </row>
    <row r="14" ht="12.75" customHeight="1">
      <c r="A14" s="433" t="s">
        <v>489</v>
      </c>
      <c r="B14" s="434"/>
      <c r="C14" s="434"/>
      <c r="D14" s="434"/>
      <c r="E14" s="434"/>
      <c r="F14" s="435"/>
      <c r="G14" s="435"/>
      <c r="H14" s="436">
        <f>((B8*E8)+(B9*E9)+(B10*E10))+((C8*E8)+(C9*E9)+(C10*E10))+((D8*E8)+(D9*E9)+(D10*E10))</f>
        <v>743.52</v>
      </c>
      <c r="I14" s="422"/>
      <c r="J14" s="422"/>
      <c r="K14" s="39"/>
      <c r="L14" s="39"/>
      <c r="M14" s="39"/>
      <c r="N14" s="39"/>
      <c r="O14" s="39"/>
      <c r="P14" s="39"/>
      <c r="Q14" s="39"/>
      <c r="R14" s="39"/>
      <c r="S14" s="39"/>
      <c r="T14" s="39"/>
      <c r="U14" s="39"/>
      <c r="V14" s="39"/>
      <c r="W14" s="39"/>
      <c r="X14" s="39"/>
      <c r="Y14" s="39"/>
      <c r="Z14" s="39"/>
    </row>
    <row r="15" ht="39.0" customHeight="1">
      <c r="A15" s="177" t="s">
        <v>490</v>
      </c>
      <c r="B15" s="437" t="s">
        <v>478</v>
      </c>
      <c r="C15" s="437" t="s">
        <v>479</v>
      </c>
      <c r="D15" s="437" t="s">
        <v>480</v>
      </c>
      <c r="E15" s="437" t="s">
        <v>481</v>
      </c>
      <c r="F15" s="437" t="s">
        <v>482</v>
      </c>
      <c r="G15" s="437" t="s">
        <v>483</v>
      </c>
      <c r="H15" s="437" t="s">
        <v>484</v>
      </c>
      <c r="K15" s="39"/>
      <c r="L15" s="39"/>
      <c r="M15" s="39"/>
      <c r="N15" s="39"/>
      <c r="O15" s="39"/>
      <c r="P15" s="39"/>
      <c r="Q15" s="39"/>
      <c r="R15" s="39"/>
      <c r="S15" s="39"/>
      <c r="T15" s="39"/>
      <c r="U15" s="39"/>
      <c r="V15" s="39"/>
      <c r="W15" s="39"/>
      <c r="X15" s="39"/>
      <c r="Y15" s="39"/>
      <c r="Z15" s="39"/>
    </row>
    <row r="16" ht="12.75" customHeight="1">
      <c r="A16" s="10" t="s">
        <v>491</v>
      </c>
      <c r="B16" s="426">
        <f>NonAOIStudCntELL</f>
        <v>80.6091</v>
      </c>
      <c r="C16" s="426">
        <f>AOIFTStudCntELL</f>
        <v>0</v>
      </c>
      <c r="D16" s="426">
        <f>AOIPTStudCntELL</f>
        <v>0</v>
      </c>
      <c r="E16" s="426">
        <v>0.115</v>
      </c>
      <c r="F16" s="426">
        <f>E16*NonAOIStudCntELL</f>
        <v>9.2700465</v>
      </c>
      <c r="G16" s="426">
        <f>E16*AOIFTStudCntELL</f>
        <v>0</v>
      </c>
      <c r="H16" s="426">
        <f>E16*AOIPTStudCntELL</f>
        <v>0</v>
      </c>
      <c r="K16" s="39"/>
      <c r="L16" s="39"/>
      <c r="M16" s="39"/>
      <c r="N16" s="39"/>
      <c r="O16" s="39"/>
      <c r="P16" s="39"/>
      <c r="Q16" s="39"/>
      <c r="R16" s="39"/>
      <c r="S16" s="39"/>
      <c r="T16" s="39"/>
      <c r="U16" s="39"/>
      <c r="V16" s="39"/>
      <c r="W16" s="39"/>
      <c r="X16" s="39"/>
      <c r="Y16" s="39"/>
      <c r="Z16" s="39"/>
    </row>
    <row r="17" ht="12.75" customHeight="1">
      <c r="A17" s="10" t="s">
        <v>402</v>
      </c>
      <c r="B17" s="426">
        <f>NonAOIStudCntK3</f>
        <v>0</v>
      </c>
      <c r="C17" s="426">
        <f>AOIFTStudCntK3</f>
        <v>0</v>
      </c>
      <c r="D17" s="426">
        <f>AOIPTStudCntK3</f>
        <v>0</v>
      </c>
      <c r="E17" s="426">
        <v>0.06</v>
      </c>
      <c r="F17" s="426">
        <f>E17*NonAOIStudCntK3</f>
        <v>0</v>
      </c>
      <c r="G17" s="426">
        <f>E17*AOIFTStudCntK3</f>
        <v>0</v>
      </c>
      <c r="H17" s="426">
        <f>E17*AOIPTStudCntK3</f>
        <v>0</v>
      </c>
      <c r="K17" s="39"/>
      <c r="L17" s="39"/>
      <c r="M17" s="39"/>
      <c r="N17" s="39"/>
      <c r="O17" s="39"/>
      <c r="P17" s="39"/>
      <c r="Q17" s="39"/>
      <c r="R17" s="39"/>
      <c r="S17" s="39"/>
      <c r="T17" s="39"/>
      <c r="U17" s="39"/>
      <c r="V17" s="39"/>
      <c r="W17" s="39"/>
      <c r="X17" s="39"/>
      <c r="Y17" s="39"/>
      <c r="Z17" s="39"/>
    </row>
    <row r="18" ht="12.75" customHeight="1">
      <c r="A18" s="10" t="s">
        <v>492</v>
      </c>
      <c r="B18" s="426">
        <f>NonAOIStudCntK3Read</f>
        <v>0</v>
      </c>
      <c r="C18" s="426">
        <f>AOIFTStudCntK3Read</f>
        <v>0</v>
      </c>
      <c r="D18" s="426">
        <f>AOIPTStudCntK3Read</f>
        <v>0</v>
      </c>
      <c r="E18" s="426">
        <v>0.04</v>
      </c>
      <c r="F18" s="426">
        <f>E18*NonAOIStudCntK3Read</f>
        <v>0</v>
      </c>
      <c r="G18" s="426">
        <f>E18*AOIFTStudCntK3Read</f>
        <v>0</v>
      </c>
      <c r="H18" s="426">
        <f>E18*AOIPTStudCntK3Read</f>
        <v>0</v>
      </c>
      <c r="K18" s="39"/>
      <c r="L18" s="39"/>
      <c r="M18" s="39"/>
      <c r="N18" s="39"/>
      <c r="O18" s="39"/>
      <c r="P18" s="39"/>
      <c r="Q18" s="39"/>
      <c r="R18" s="39"/>
      <c r="S18" s="39"/>
      <c r="T18" s="39"/>
      <c r="U18" s="39"/>
      <c r="V18" s="39"/>
      <c r="W18" s="39"/>
      <c r="X18" s="39"/>
      <c r="Y18" s="39"/>
      <c r="Z18" s="39"/>
    </row>
    <row r="19" ht="11.25" customHeight="1">
      <c r="A19" s="10" t="s">
        <v>493</v>
      </c>
      <c r="B19" s="426">
        <f>NonAOIStudCntHI</f>
        <v>0</v>
      </c>
      <c r="C19" s="426">
        <f>AOIFTStudCntHI</f>
        <v>0</v>
      </c>
      <c r="D19" s="426">
        <f>AOIPTStudCntHI</f>
        <v>0</v>
      </c>
      <c r="E19" s="426">
        <v>4.771</v>
      </c>
      <c r="F19" s="426">
        <f>E19*NonAOIStudCntHI</f>
        <v>0</v>
      </c>
      <c r="G19" s="426">
        <f>E19*AOIFTStudCntHI</f>
        <v>0</v>
      </c>
      <c r="H19" s="426">
        <f>E19*AOIPTStudCntHI</f>
        <v>0</v>
      </c>
      <c r="K19" s="39"/>
      <c r="L19" s="39"/>
      <c r="M19" s="39"/>
      <c r="N19" s="39"/>
      <c r="O19" s="39"/>
      <c r="P19" s="39"/>
      <c r="Q19" s="39"/>
      <c r="R19" s="39"/>
      <c r="S19" s="39"/>
      <c r="T19" s="39"/>
      <c r="U19" s="39"/>
      <c r="V19" s="39"/>
      <c r="W19" s="39"/>
      <c r="X19" s="39"/>
      <c r="Y19" s="39"/>
      <c r="Z19" s="39"/>
    </row>
    <row r="20" ht="12.75" customHeight="1">
      <c r="A20" s="10" t="s">
        <v>494</v>
      </c>
      <c r="B20" s="426">
        <f>NonAOIStudCntMDR.AR.SIDR</f>
        <v>0</v>
      </c>
      <c r="C20" s="426">
        <f>AOIFTStudCntMDR.AR.SIDR</f>
        <v>0</v>
      </c>
      <c r="D20" s="426">
        <f>AOIPTStudCntMDR.AR.SIDR</f>
        <v>0</v>
      </c>
      <c r="E20" s="426">
        <v>6.024</v>
      </c>
      <c r="F20" s="426">
        <f>E20*NonAOIStudCntMDR.AR.SIDR</f>
        <v>0</v>
      </c>
      <c r="G20" s="426">
        <f>E20*AOIFTStudCntMDR.AR.SIDR</f>
        <v>0</v>
      </c>
      <c r="H20" s="426">
        <f>E20*AOIPTStudCntMDR.AR.SIDR</f>
        <v>0</v>
      </c>
      <c r="K20" s="39"/>
      <c r="L20" s="39"/>
      <c r="M20" s="39"/>
      <c r="N20" s="39"/>
      <c r="O20" s="39"/>
      <c r="P20" s="39"/>
      <c r="Q20" s="39"/>
      <c r="R20" s="39"/>
      <c r="S20" s="39"/>
      <c r="T20" s="39"/>
      <c r="U20" s="39"/>
      <c r="V20" s="39"/>
      <c r="W20" s="39"/>
      <c r="X20" s="39"/>
      <c r="Y20" s="39"/>
      <c r="Z20" s="39"/>
    </row>
    <row r="21" ht="12.75" customHeight="1">
      <c r="A21" s="10" t="s">
        <v>495</v>
      </c>
      <c r="B21" s="426">
        <f>NonAOIStudCntMDSC.ASC.SIDSC</f>
        <v>5.145</v>
      </c>
      <c r="C21" s="426">
        <f>AOIFTStudCntMDSC.ASC.SIDSC</f>
        <v>0</v>
      </c>
      <c r="D21" s="426">
        <f>AOIPTStudCntMDSC.ASC.SIDSC</f>
        <v>0</v>
      </c>
      <c r="E21" s="426">
        <v>5.988</v>
      </c>
      <c r="F21" s="426">
        <f>E21*NonAOIStudCntMDSC.ASC.SIDSC</f>
        <v>30.80826</v>
      </c>
      <c r="G21" s="426">
        <f>E21*AOIFTStudCntMDSC.ASC.SIDSC</f>
        <v>0</v>
      </c>
      <c r="H21" s="426">
        <f>E21*AOIPTStudCntMDSC.ASC.SIDSC</f>
        <v>0</v>
      </c>
      <c r="K21" s="39"/>
      <c r="L21" s="39"/>
      <c r="M21" s="39"/>
      <c r="N21" s="39"/>
      <c r="O21" s="39"/>
      <c r="P21" s="39"/>
      <c r="Q21" s="39"/>
      <c r="R21" s="39"/>
      <c r="S21" s="39"/>
      <c r="T21" s="39"/>
      <c r="U21" s="39"/>
      <c r="V21" s="39"/>
      <c r="W21" s="39"/>
      <c r="X21" s="39"/>
      <c r="Y21" s="39"/>
      <c r="Z21" s="39"/>
    </row>
    <row r="22" ht="12.75" customHeight="1">
      <c r="A22" s="10" t="s">
        <v>496</v>
      </c>
      <c r="B22" s="426">
        <f>NonAOIStudCntMDSSI</f>
        <v>1.83</v>
      </c>
      <c r="C22" s="426">
        <f>AOIFTStudCntMDSSI</f>
        <v>0</v>
      </c>
      <c r="D22" s="426">
        <f>AOIPTStudCntMDSSI</f>
        <v>0</v>
      </c>
      <c r="E22" s="426">
        <v>7.947</v>
      </c>
      <c r="F22" s="426">
        <f>E22*NonAOIStudCntMDSSI</f>
        <v>14.54301</v>
      </c>
      <c r="G22" s="426">
        <f>E22*AOIFTStudCntMDSSI</f>
        <v>0</v>
      </c>
      <c r="H22" s="426">
        <f>E22*AOIPTStudCntMDSSI</f>
        <v>0</v>
      </c>
      <c r="K22" s="39"/>
      <c r="L22" s="39"/>
      <c r="M22" s="39"/>
      <c r="N22" s="39"/>
      <c r="O22" s="39"/>
      <c r="P22" s="39"/>
      <c r="Q22" s="39"/>
      <c r="R22" s="39"/>
      <c r="S22" s="39"/>
      <c r="T22" s="39"/>
      <c r="U22" s="39"/>
      <c r="V22" s="39"/>
      <c r="W22" s="39"/>
      <c r="X22" s="39"/>
      <c r="Y22" s="39"/>
      <c r="Z22" s="39"/>
    </row>
    <row r="23" ht="12.75" customHeight="1">
      <c r="A23" s="10" t="s">
        <v>497</v>
      </c>
      <c r="B23" s="426">
        <f>NonAOIStudCntOIR</f>
        <v>0</v>
      </c>
      <c r="C23" s="426">
        <f>AOIFTStudCntOIR</f>
        <v>0</v>
      </c>
      <c r="D23" s="426">
        <f>AOIPTStudCntOIR</f>
        <v>0</v>
      </c>
      <c r="E23" s="426">
        <v>3.158</v>
      </c>
      <c r="F23" s="426">
        <f>E23*NonAOIStudCntOIR</f>
        <v>0</v>
      </c>
      <c r="G23" s="426">
        <f>E23*AOIFTStudCntOIR</f>
        <v>0</v>
      </c>
      <c r="H23" s="426">
        <f>E23*AOIPTStudCntOIR</f>
        <v>0</v>
      </c>
      <c r="K23" s="39"/>
      <c r="L23" s="39"/>
      <c r="M23" s="39"/>
      <c r="N23" s="39"/>
      <c r="O23" s="39"/>
      <c r="P23" s="39"/>
      <c r="Q23" s="39"/>
      <c r="R23" s="39"/>
      <c r="S23" s="39"/>
      <c r="T23" s="39"/>
      <c r="U23" s="39"/>
      <c r="V23" s="39"/>
      <c r="W23" s="39"/>
      <c r="X23" s="39"/>
      <c r="Y23" s="39"/>
      <c r="Z23" s="39"/>
    </row>
    <row r="24" ht="12.75" customHeight="1">
      <c r="A24" s="10" t="s">
        <v>498</v>
      </c>
      <c r="B24" s="426">
        <f>NonAOIStudCntOISC</f>
        <v>0</v>
      </c>
      <c r="C24" s="426">
        <f>AOIFTStudCntOISC</f>
        <v>0</v>
      </c>
      <c r="D24" s="426">
        <f>AOIPTStudCntOISC</f>
        <v>0</v>
      </c>
      <c r="E24" s="426">
        <v>6.773</v>
      </c>
      <c r="F24" s="426">
        <f>E24*NonAOIStudCntOISC</f>
        <v>0</v>
      </c>
      <c r="G24" s="426">
        <f>E24*AOIFTStudCntOISC</f>
        <v>0</v>
      </c>
      <c r="H24" s="426">
        <f>E24*AOIPTStudCntOISC</f>
        <v>0</v>
      </c>
      <c r="K24" s="39"/>
      <c r="L24" s="39"/>
      <c r="M24" s="39"/>
      <c r="N24" s="39"/>
      <c r="O24" s="39"/>
      <c r="P24" s="39"/>
      <c r="Q24" s="39"/>
      <c r="R24" s="39"/>
      <c r="S24" s="39"/>
      <c r="T24" s="39"/>
      <c r="U24" s="39"/>
      <c r="V24" s="39"/>
      <c r="W24" s="39"/>
      <c r="X24" s="39"/>
      <c r="Y24" s="39"/>
      <c r="Z24" s="39"/>
    </row>
    <row r="25" ht="12.75" customHeight="1">
      <c r="A25" s="10" t="s">
        <v>499</v>
      </c>
      <c r="B25" s="426">
        <f>NonAOIStudCntP.SD</f>
        <v>0</v>
      </c>
      <c r="C25" s="426" t="str">
        <f>AOIFTStudCntP.SD</f>
        <v/>
      </c>
      <c r="D25" s="426" t="str">
        <f>AOIPTStudCntP.SD</f>
        <v/>
      </c>
      <c r="E25" s="426">
        <v>3.595</v>
      </c>
      <c r="F25" s="426">
        <f>E25*NonAOIStudCntP.SD</f>
        <v>0</v>
      </c>
      <c r="G25" s="426">
        <f>E25*AOIFTStudCntP.SD</f>
        <v>0</v>
      </c>
      <c r="H25" s="426">
        <f>E25*AOIPTStudCntP.SD</f>
        <v>0</v>
      </c>
      <c r="K25" s="39"/>
      <c r="L25" s="39"/>
      <c r="M25" s="39"/>
      <c r="N25" s="39"/>
      <c r="O25" s="39"/>
      <c r="P25" s="39"/>
      <c r="Q25" s="39"/>
      <c r="R25" s="39"/>
      <c r="S25" s="39"/>
      <c r="T25" s="39"/>
      <c r="U25" s="39"/>
      <c r="V25" s="39"/>
      <c r="W25" s="39"/>
      <c r="X25" s="39"/>
      <c r="Y25" s="39"/>
      <c r="Z25" s="39"/>
    </row>
    <row r="26" ht="12.75" customHeight="1">
      <c r="A26" s="10" t="s">
        <v>500</v>
      </c>
      <c r="B26" s="426">
        <f>NonAOIStudCntDD.ED.MIID.SLD.SLI.OHI</f>
        <v>45.9249</v>
      </c>
      <c r="C26" s="426">
        <f>AOIFTStudCntDD.ED.MIID.SLD.SLI.OHI</f>
        <v>0</v>
      </c>
      <c r="D26" s="426">
        <f>AOIPTStudCntDD.ED.MIID.SLD.SLI.OHI</f>
        <v>0</v>
      </c>
      <c r="E26" s="426">
        <v>0.292</v>
      </c>
      <c r="F26" s="426">
        <f>E26*NonAOIStudCntDD.ED.MIID.SLD.SLI.OHI</f>
        <v>13.4100708</v>
      </c>
      <c r="G26" s="426">
        <f>E26*AOIFTStudCntDD.ED.MIID.SLD.SLI.OHI</f>
        <v>0</v>
      </c>
      <c r="H26" s="426">
        <f>E26*AOIPTStudCntDD.ED.MIID.SLD.SLI.OHI</f>
        <v>0</v>
      </c>
      <c r="K26" s="39"/>
      <c r="L26" s="39"/>
      <c r="M26" s="39"/>
      <c r="N26" s="39"/>
      <c r="O26" s="39"/>
      <c r="P26" s="39"/>
      <c r="Q26" s="39"/>
      <c r="R26" s="39"/>
      <c r="S26" s="39"/>
      <c r="T26" s="39"/>
      <c r="U26" s="39"/>
      <c r="V26" s="39"/>
      <c r="W26" s="39"/>
      <c r="X26" s="39"/>
      <c r="Y26" s="39"/>
      <c r="Z26" s="39"/>
    </row>
    <row r="27" ht="12.75" customHeight="1">
      <c r="A27" s="10" t="s">
        <v>501</v>
      </c>
      <c r="B27" s="426">
        <f>NonAOIStudCntEDP</f>
        <v>0</v>
      </c>
      <c r="C27" s="426">
        <f>AOIFTStudCntEDP</f>
        <v>0</v>
      </c>
      <c r="D27" s="426">
        <f>AOIPTStudCntEDP</f>
        <v>0</v>
      </c>
      <c r="E27" s="426">
        <v>4.822</v>
      </c>
      <c r="F27" s="426">
        <f>E27*NonAOIStudCntEDP</f>
        <v>0</v>
      </c>
      <c r="G27" s="426">
        <f>E27*AOIFTStudCntEDP</f>
        <v>0</v>
      </c>
      <c r="H27" s="426">
        <f>E27*AOIPTStudCntEDP</f>
        <v>0</v>
      </c>
      <c r="K27" s="39"/>
      <c r="L27" s="39"/>
      <c r="M27" s="39"/>
      <c r="N27" s="39"/>
      <c r="O27" s="39"/>
      <c r="P27" s="39"/>
      <c r="Q27" s="39"/>
      <c r="R27" s="39"/>
      <c r="S27" s="39"/>
      <c r="T27" s="39"/>
      <c r="U27" s="39"/>
      <c r="V27" s="39"/>
      <c r="W27" s="39"/>
      <c r="X27" s="39"/>
      <c r="Y27" s="39"/>
      <c r="Z27" s="39"/>
    </row>
    <row r="28" ht="12.75" customHeight="1">
      <c r="A28" s="10" t="s">
        <v>502</v>
      </c>
      <c r="B28" s="426">
        <f>NonAOIStudCntMOID</f>
        <v>0.2</v>
      </c>
      <c r="C28" s="426">
        <f>AOIFTStudCntMOID</f>
        <v>0</v>
      </c>
      <c r="D28" s="426">
        <f>AOIPTStudCntMOID</f>
        <v>0</v>
      </c>
      <c r="E28" s="426">
        <v>4.421</v>
      </c>
      <c r="F28" s="426">
        <f>E28*NonAOIStudCntMOID</f>
        <v>0.8842</v>
      </c>
      <c r="G28" s="426">
        <f>E28*AOIFTStudCntMOID</f>
        <v>0</v>
      </c>
      <c r="H28" s="426">
        <f>E28*AOIPTStudCntMOID</f>
        <v>0</v>
      </c>
      <c r="K28" s="39"/>
      <c r="L28" s="39"/>
      <c r="M28" s="39"/>
      <c r="N28" s="39"/>
      <c r="O28" s="39"/>
      <c r="P28" s="39"/>
      <c r="Q28" s="39"/>
      <c r="R28" s="39"/>
      <c r="S28" s="39"/>
      <c r="T28" s="39"/>
      <c r="U28" s="39"/>
      <c r="V28" s="39"/>
      <c r="W28" s="39"/>
      <c r="X28" s="39"/>
      <c r="Y28" s="39"/>
      <c r="Z28" s="39"/>
    </row>
    <row r="29" ht="12.75" customHeight="1">
      <c r="A29" s="10" t="s">
        <v>503</v>
      </c>
      <c r="B29" s="426">
        <f>NonAOIStudCntVI</f>
        <v>0</v>
      </c>
      <c r="C29" s="426">
        <f>AOIFTStudCntVI</f>
        <v>0</v>
      </c>
      <c r="D29" s="426">
        <f>AOIPTStudCntVI</f>
        <v>0</v>
      </c>
      <c r="E29" s="426">
        <v>4.806</v>
      </c>
      <c r="F29" s="426">
        <f>E29*NonAOIStudCntVI</f>
        <v>0</v>
      </c>
      <c r="G29" s="426">
        <f>E29*AOIFTStudCntVI</f>
        <v>0</v>
      </c>
      <c r="H29" s="426">
        <f>E29*AOIPTStudCntVI</f>
        <v>0</v>
      </c>
      <c r="K29" s="39"/>
      <c r="L29" s="39"/>
      <c r="M29" s="39"/>
      <c r="N29" s="39"/>
      <c r="O29" s="39"/>
      <c r="P29" s="39"/>
      <c r="Q29" s="39"/>
      <c r="R29" s="39"/>
      <c r="S29" s="39"/>
      <c r="T29" s="39"/>
      <c r="U29" s="39"/>
      <c r="V29" s="39"/>
      <c r="W29" s="39"/>
      <c r="X29" s="39"/>
      <c r="Y29" s="39"/>
      <c r="Z29" s="39"/>
    </row>
    <row r="30" ht="12.75" customHeight="1">
      <c r="A30" s="10" t="s">
        <v>504</v>
      </c>
      <c r="B30" s="426">
        <f>NonAOIStudCntG</f>
        <v>0</v>
      </c>
      <c r="C30" s="426">
        <f>AOIFTStudCntG</f>
        <v>0</v>
      </c>
      <c r="D30" s="426">
        <f>AOIPTStudCntG</f>
        <v>0</v>
      </c>
      <c r="E30" s="426">
        <v>0.007</v>
      </c>
      <c r="F30" s="426">
        <f>E30*NonAOIStudCntG</f>
        <v>0</v>
      </c>
      <c r="G30" s="426">
        <f>E30*AOIFTStudCntG</f>
        <v>0</v>
      </c>
      <c r="H30" s="426">
        <f>E30*AOIPTStudCntG</f>
        <v>0</v>
      </c>
      <c r="K30" s="39"/>
      <c r="L30" s="39"/>
      <c r="M30" s="39"/>
      <c r="N30" s="39"/>
      <c r="O30" s="39"/>
      <c r="P30" s="39"/>
      <c r="Q30" s="39"/>
      <c r="R30" s="39"/>
      <c r="S30" s="39"/>
      <c r="T30" s="39"/>
      <c r="U30" s="39"/>
      <c r="V30" s="39"/>
      <c r="W30" s="39"/>
      <c r="X30" s="39"/>
      <c r="Y30" s="39"/>
      <c r="Z30" s="39"/>
    </row>
    <row r="31" ht="12.75" customHeight="1">
      <c r="A31" s="425" t="s">
        <v>505</v>
      </c>
      <c r="B31" s="426">
        <f>NonAOIStudCntFRPL</f>
        <v>463.1178</v>
      </c>
      <c r="C31" s="426">
        <f>AOIFTStudCntFRPL</f>
        <v>0</v>
      </c>
      <c r="D31" s="426">
        <f>AOIPTStudCntFRPL</f>
        <v>0</v>
      </c>
      <c r="E31" s="438">
        <v>0.022</v>
      </c>
      <c r="F31" s="426">
        <f>E31*NonAOIStudCntFRPL</f>
        <v>10.1885916</v>
      </c>
      <c r="G31" s="426">
        <f>E31*AOIFTStudCntFRPL</f>
        <v>0</v>
      </c>
      <c r="H31" s="426">
        <f>E31*AOIPTStudCntFRPL</f>
        <v>0</v>
      </c>
      <c r="K31" s="39"/>
      <c r="L31" s="39"/>
      <c r="M31" s="39"/>
      <c r="N31" s="39"/>
      <c r="O31" s="39"/>
      <c r="P31" s="39"/>
      <c r="Q31" s="39"/>
      <c r="R31" s="39"/>
      <c r="S31" s="39"/>
      <c r="T31" s="39"/>
      <c r="U31" s="39"/>
      <c r="V31" s="39"/>
      <c r="W31" s="39"/>
      <c r="X31" s="39"/>
      <c r="Y31" s="39"/>
      <c r="Z31" s="39"/>
    </row>
    <row r="32" ht="12.75" customHeight="1">
      <c r="A32" s="287" t="s">
        <v>506</v>
      </c>
      <c r="B32" s="439">
        <f t="shared" ref="B32:D32" si="5">SUM(B16:B31)</f>
        <v>596.8268</v>
      </c>
      <c r="C32" s="428">
        <f t="shared" si="5"/>
        <v>0</v>
      </c>
      <c r="D32" s="428">
        <f t="shared" si="5"/>
        <v>0</v>
      </c>
      <c r="E32" s="428"/>
      <c r="F32" s="428"/>
      <c r="G32" s="428"/>
      <c r="H32" s="428"/>
      <c r="K32" s="39"/>
      <c r="L32" s="39"/>
      <c r="M32" s="39"/>
      <c r="N32" s="39"/>
      <c r="O32" s="39"/>
      <c r="P32" s="39"/>
      <c r="Q32" s="39"/>
      <c r="R32" s="39"/>
      <c r="S32" s="39"/>
      <c r="T32" s="39"/>
      <c r="U32" s="39"/>
      <c r="V32" s="39"/>
      <c r="W32" s="39"/>
      <c r="X32" s="39"/>
      <c r="Y32" s="39"/>
      <c r="Z32" s="39"/>
    </row>
    <row r="33" ht="12.75" customHeight="1">
      <c r="A33" s="440" t="s">
        <v>507</v>
      </c>
      <c r="B33" s="439"/>
      <c r="C33" s="428"/>
      <c r="D33" s="428">
        <f>SUM(B32:D32)</f>
        <v>596.8268</v>
      </c>
      <c r="E33" s="428"/>
      <c r="F33" s="428"/>
      <c r="G33" s="428"/>
      <c r="H33" s="428"/>
      <c r="K33" s="39"/>
      <c r="L33" s="39"/>
      <c r="M33" s="39"/>
      <c r="N33" s="39"/>
      <c r="O33" s="39"/>
      <c r="P33" s="39"/>
      <c r="Q33" s="39"/>
      <c r="R33" s="39"/>
      <c r="S33" s="39"/>
      <c r="T33" s="39"/>
      <c r="U33" s="39"/>
      <c r="V33" s="39"/>
      <c r="W33" s="39"/>
      <c r="X33" s="39"/>
      <c r="Y33" s="39"/>
      <c r="Z33" s="39"/>
    </row>
    <row r="34" ht="12.75" customHeight="1">
      <c r="A34" s="440" t="s">
        <v>508</v>
      </c>
      <c r="B34" s="439"/>
      <c r="C34" s="428"/>
      <c r="D34" s="428"/>
      <c r="E34" s="428"/>
      <c r="F34" s="428">
        <f>((B16*E16)+(B17*E17)+(B18*E18)+(B19*E19)+(B20*E20)+(B21*E21)+(B22*E22)+(B23*E23)+(B24*E24)+(B25*E25)+(B26*E26)+(B27*E27)+(B28*E28)+(B29*E29)+(B30*E30)+(B31*E31))</f>
        <v>79.1041789</v>
      </c>
      <c r="G34" s="428">
        <f>((C16*E16)+(C17*E17)+(C18*E18)+(C19*E19)+(C20*E20)+(C21*E21)+(C22*E22)+(C23*E23)+(C24*E24)+(C25*E25)+(C26*E26)+(C27*E27)+(C28*E28)+(C29*E29)+(C30*E30)+(C31*E31))</f>
        <v>0</v>
      </c>
      <c r="H34" s="428">
        <f>((D16*E16)+(D17*E17)+(D18*E18)+(D19*E19)+(D20*E20)+(D21*E21)+(D22*E22)+(D23*E23)+(D24*E24)+(D25*E25)+(D26*E26)+(D27*E27)+(D28*E28)+(D29*E29)+(D30*E30)+(D31*E31))</f>
        <v>0</v>
      </c>
      <c r="I34" s="39"/>
      <c r="J34" s="39"/>
      <c r="K34" s="39"/>
      <c r="L34" s="39"/>
      <c r="M34" s="39"/>
      <c r="N34" s="39"/>
      <c r="O34" s="39"/>
      <c r="P34" s="39"/>
      <c r="Q34" s="39"/>
      <c r="R34" s="39"/>
      <c r="S34" s="39"/>
      <c r="T34" s="39"/>
      <c r="U34" s="39"/>
      <c r="V34" s="39"/>
      <c r="W34" s="39"/>
      <c r="X34" s="39"/>
      <c r="Y34" s="39"/>
      <c r="Z34" s="39"/>
    </row>
    <row r="35" ht="12.75" customHeight="1">
      <c r="A35" s="440" t="s">
        <v>509</v>
      </c>
      <c r="B35" s="439"/>
      <c r="C35" s="428"/>
      <c r="D35" s="428"/>
      <c r="E35" s="428"/>
      <c r="F35" s="428"/>
      <c r="G35" s="428"/>
      <c r="H35" s="42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79.1041789</v>
      </c>
      <c r="I35" s="381"/>
      <c r="J35" s="39"/>
      <c r="K35" s="39"/>
      <c r="L35" s="39"/>
      <c r="M35" s="39"/>
      <c r="N35" s="39"/>
      <c r="O35" s="39"/>
      <c r="P35" s="39"/>
      <c r="Q35" s="39"/>
      <c r="R35" s="39"/>
      <c r="S35" s="39"/>
      <c r="T35" s="39"/>
      <c r="U35" s="39"/>
      <c r="V35" s="39"/>
      <c r="W35" s="39"/>
      <c r="X35" s="39"/>
      <c r="Y35" s="39"/>
      <c r="Z35" s="39"/>
    </row>
    <row r="36" ht="12.75" customHeight="1">
      <c r="A36" s="340" t="str">
        <f>A3</f>
        <v>Western School of Science and Technology</v>
      </c>
      <c r="K36" s="39"/>
      <c r="L36" s="39"/>
      <c r="M36" s="39"/>
      <c r="N36" s="39"/>
      <c r="O36" s="39"/>
      <c r="P36" s="39"/>
      <c r="Q36" s="39"/>
      <c r="R36" s="39"/>
      <c r="S36" s="39"/>
      <c r="T36" s="39"/>
      <c r="U36" s="39"/>
      <c r="V36" s="39"/>
      <c r="W36" s="39"/>
      <c r="X36" s="39"/>
      <c r="Y36" s="39"/>
      <c r="Z36" s="39"/>
    </row>
    <row r="37" ht="12.75" customHeight="1">
      <c r="A37" s="4" t="s">
        <v>475</v>
      </c>
      <c r="K37" s="39"/>
      <c r="L37" s="39"/>
      <c r="M37" s="39"/>
      <c r="N37" s="39"/>
      <c r="O37" s="39"/>
      <c r="P37" s="39"/>
      <c r="Q37" s="39"/>
      <c r="R37" s="39"/>
      <c r="S37" s="39"/>
      <c r="T37" s="39"/>
      <c r="U37" s="39"/>
      <c r="V37" s="39"/>
      <c r="W37" s="39"/>
      <c r="X37" s="39"/>
      <c r="Y37" s="39"/>
      <c r="Z37" s="39"/>
    </row>
    <row r="38" ht="12.75" customHeight="1">
      <c r="A38" s="4" t="s">
        <v>8</v>
      </c>
      <c r="K38" s="39"/>
      <c r="L38" s="39"/>
      <c r="M38" s="39"/>
      <c r="N38" s="39"/>
      <c r="O38" s="39"/>
      <c r="P38" s="39"/>
      <c r="Q38" s="39"/>
      <c r="R38" s="39"/>
      <c r="S38" s="39"/>
      <c r="T38" s="39"/>
      <c r="U38" s="39"/>
      <c r="V38" s="39"/>
      <c r="W38" s="39"/>
      <c r="X38" s="39"/>
      <c r="Y38" s="39"/>
      <c r="Z38" s="39"/>
    </row>
    <row r="39" ht="12.75" customHeight="1">
      <c r="A39" s="422"/>
      <c r="B39" s="422"/>
      <c r="C39" s="422"/>
      <c r="D39" s="422"/>
      <c r="E39" s="422"/>
      <c r="F39" s="422"/>
      <c r="G39" s="422"/>
      <c r="H39" s="422"/>
      <c r="I39" s="422"/>
      <c r="J39" s="423" t="s">
        <v>510</v>
      </c>
      <c r="K39" s="39"/>
      <c r="L39" s="39"/>
      <c r="M39" s="39"/>
      <c r="N39" s="39"/>
      <c r="O39" s="39"/>
      <c r="P39" s="39"/>
      <c r="Q39" s="39"/>
      <c r="R39" s="39"/>
      <c r="S39" s="39"/>
      <c r="T39" s="39"/>
      <c r="U39" s="39"/>
      <c r="V39" s="39"/>
      <c r="W39" s="39"/>
      <c r="X39" s="39"/>
      <c r="Y39" s="39"/>
      <c r="Z39" s="39"/>
    </row>
    <row r="40" ht="12.75" customHeight="1">
      <c r="K40" s="39"/>
      <c r="L40" s="39"/>
      <c r="M40" s="39"/>
      <c r="N40" s="39"/>
      <c r="O40" s="39"/>
      <c r="P40" s="39"/>
      <c r="Q40" s="39"/>
      <c r="R40" s="39"/>
      <c r="S40" s="39"/>
      <c r="T40" s="39"/>
      <c r="U40" s="39"/>
      <c r="V40" s="39"/>
      <c r="W40" s="39"/>
      <c r="X40" s="39"/>
      <c r="Y40" s="39"/>
      <c r="Z40" s="39"/>
    </row>
    <row r="41" ht="12.75" customHeight="1">
      <c r="A41" s="440" t="s">
        <v>511</v>
      </c>
      <c r="K41" s="39"/>
      <c r="L41" s="39"/>
      <c r="M41" s="39"/>
      <c r="N41" s="39"/>
      <c r="O41" s="39"/>
      <c r="P41" s="39"/>
      <c r="Q41" s="39"/>
      <c r="R41" s="39"/>
      <c r="S41" s="39"/>
      <c r="T41" s="39"/>
      <c r="U41" s="39"/>
      <c r="V41" s="39"/>
      <c r="W41" s="39"/>
      <c r="X41" s="39"/>
      <c r="Y41" s="39"/>
      <c r="Z41" s="39"/>
    </row>
    <row r="42" ht="12.75" customHeight="1">
      <c r="A42" s="414"/>
      <c r="C42" s="424" t="s">
        <v>512</v>
      </c>
      <c r="E42" s="424" t="s">
        <v>513</v>
      </c>
      <c r="G42" s="424" t="s">
        <v>514</v>
      </c>
      <c r="K42" s="39"/>
      <c r="L42" s="39"/>
      <c r="M42" s="39"/>
      <c r="N42" s="39"/>
      <c r="O42" s="39"/>
      <c r="P42" s="39"/>
      <c r="Q42" s="39"/>
      <c r="R42" s="39"/>
      <c r="S42" s="39"/>
      <c r="T42" s="39"/>
      <c r="U42" s="39"/>
      <c r="V42" s="39"/>
      <c r="W42" s="39"/>
      <c r="X42" s="39"/>
      <c r="Y42" s="39"/>
      <c r="Z42" s="39"/>
    </row>
    <row r="43" ht="13.5" customHeight="1">
      <c r="A43" s="41" t="s">
        <v>488</v>
      </c>
      <c r="C43" s="441">
        <f>((B8*E8)+(B9*E9)+(B10*E10))</f>
        <v>743.52</v>
      </c>
      <c r="E43" s="441">
        <f>((C8*E8)+(C9*E9)+(C10*E10))</f>
        <v>0</v>
      </c>
      <c r="F43" s="429"/>
      <c r="G43" s="441">
        <f>((D8*E8)+(D9*E9)+(D10*E10))</f>
        <v>0</v>
      </c>
      <c r="H43" s="429"/>
      <c r="K43" s="39"/>
      <c r="L43" s="39"/>
      <c r="M43" s="39"/>
      <c r="N43" s="39"/>
      <c r="O43" s="39"/>
      <c r="P43" s="39"/>
      <c r="Q43" s="39"/>
      <c r="R43" s="39"/>
      <c r="S43" s="39"/>
      <c r="T43" s="39"/>
      <c r="U43" s="39"/>
      <c r="V43" s="39"/>
      <c r="W43" s="39"/>
      <c r="X43" s="39"/>
      <c r="Y43" s="39"/>
      <c r="Z43" s="39"/>
    </row>
    <row r="44" ht="12.75" customHeight="1">
      <c r="A44" s="41" t="s">
        <v>508</v>
      </c>
      <c r="B44" s="17" t="s">
        <v>390</v>
      </c>
      <c r="C44" s="441">
        <f>((B16*E16)+(B17*E17)+(B18*E18)+(B19*E19)+(B20*E20)+(B21*E21)+(B22*E22)+(B23*E23)+(B24*E24)+(B25*E25)+(B26*E26)+(B27*E27)+(B28*E28)+(B29*E29)+(B30*E30)+(B31*E31))</f>
        <v>79.1041789</v>
      </c>
      <c r="D44" s="17" t="s">
        <v>390</v>
      </c>
      <c r="E44" s="441">
        <f>((C16*E16)+(C17*E17)+(C18*E18)+(C19*E19)+(C20*E20)+(C21*E21)+(C22*E22)+(C23*E23)+(C24*E24)+(C25*E25)+(C26*E26)+(C27*E27)+(C28*E28)+(C29*E29)+(C30*E30)+(C31*E31))</f>
        <v>0</v>
      </c>
      <c r="F44" s="442" t="s">
        <v>390</v>
      </c>
      <c r="G44" s="441">
        <f>((D16*E16)+(D17*E17)+(D18*E18)+(D19*E19)+(D20*E20)+(D21*E21)+(D22*E22)+(D23*E23)+(D24*E24)+(D25*E25)+(D26*E26)+(D27*E27)+(D28*E28)+(D29*E29)+(D30*E30)+(D31*E31))</f>
        <v>0</v>
      </c>
      <c r="H44" s="429"/>
      <c r="K44" s="39"/>
      <c r="L44" s="39"/>
      <c r="M44" s="39"/>
      <c r="N44" s="39"/>
      <c r="O44" s="39"/>
      <c r="P44" s="39"/>
      <c r="Q44" s="39"/>
      <c r="R44" s="39"/>
      <c r="S44" s="39"/>
      <c r="T44" s="39"/>
      <c r="U44" s="39"/>
      <c r="V44" s="39"/>
      <c r="W44" s="39"/>
      <c r="X44" s="39"/>
      <c r="Y44" s="39"/>
      <c r="Z44" s="39"/>
    </row>
    <row r="45" ht="12.75" customHeight="1">
      <c r="A45" s="41" t="s">
        <v>515</v>
      </c>
      <c r="B45" s="17" t="s">
        <v>393</v>
      </c>
      <c r="C45" s="441">
        <f>((B8*E8)+(B9*E9)+(B10*E10))+((B16*E16)+(B17*E17)+(B18*E18)+(B19*E19)+(B20*E20)+(B21*E21)+(B22*E22)+(B23*E23)+(B24*E24)+(B25*E25)+(B26*E26)+(B27*E27)+(B28*E28)+(B29*E29)+(B30*E30)+(B31*E31))</f>
        <v>822.6241789</v>
      </c>
      <c r="D45" s="17" t="s">
        <v>393</v>
      </c>
      <c r="E45" s="441">
        <f>((C8*E8)+(C9*E9)+(C10*E10))+((C16*E16)+(C17*E17)+(C18*E18)+(C19*E19)+(C20*E20)+(C21*E21)+(C22*E22)+(C23*E23)+(C24*E24)+(C25*E25)+(C26*E26)+(C27*E27)+(C28*E28)+(C29*E29)+(C30*E30)+(C31*E31))</f>
        <v>0</v>
      </c>
      <c r="F45" s="442" t="s">
        <v>393</v>
      </c>
      <c r="G45" s="441">
        <f>((D8*E8)+(D9*E9)+(D10*E10))+((D16*E16)+(D17*E17)+(D18*E18)+(D19*E19)+(D20*E20)+(D21*E21)+(D22*E22)+(D23*E23)+(D24*E24)+(D25*E25)+(D26*E26)+(D27*E27)+(D28*E28)+(D29*E29)+(D30*E30)+(D31*E31))</f>
        <v>0</v>
      </c>
      <c r="H45" s="429"/>
      <c r="K45" s="39"/>
      <c r="L45" s="39"/>
      <c r="M45" s="39"/>
      <c r="N45" s="39"/>
      <c r="O45" s="39"/>
      <c r="P45" s="39"/>
      <c r="Q45" s="39"/>
      <c r="R45" s="39"/>
      <c r="S45" s="39"/>
      <c r="T45" s="39"/>
      <c r="U45" s="39"/>
      <c r="V45" s="39"/>
      <c r="W45" s="39"/>
      <c r="X45" s="39"/>
      <c r="Y45" s="39"/>
      <c r="Z45" s="39"/>
    </row>
    <row r="46" ht="12.75" customHeight="1">
      <c r="A46" s="41" t="s">
        <v>516</v>
      </c>
      <c r="B46" s="17" t="s">
        <v>356</v>
      </c>
      <c r="C46" s="441">
        <v>1.0</v>
      </c>
      <c r="D46" s="17" t="s">
        <v>356</v>
      </c>
      <c r="E46" s="441">
        <v>0.95</v>
      </c>
      <c r="F46" s="442" t="s">
        <v>356</v>
      </c>
      <c r="G46" s="441">
        <v>0.85</v>
      </c>
      <c r="H46" s="429"/>
      <c r="K46" s="39"/>
      <c r="L46" s="39"/>
      <c r="M46" s="39"/>
      <c r="N46" s="39"/>
      <c r="O46" s="39"/>
      <c r="P46" s="39"/>
      <c r="Q46" s="39"/>
      <c r="R46" s="39"/>
      <c r="S46" s="39"/>
      <c r="T46" s="39"/>
      <c r="U46" s="39"/>
      <c r="V46" s="39"/>
      <c r="W46" s="39"/>
      <c r="X46" s="39"/>
      <c r="Y46" s="39"/>
      <c r="Z46" s="39"/>
    </row>
    <row r="47" ht="12.75" customHeight="1">
      <c r="A47" s="41" t="s">
        <v>517</v>
      </c>
      <c r="B47" s="17" t="s">
        <v>393</v>
      </c>
      <c r="C47" s="441">
        <f>(((B8*E8)+(B9*E9)+(B10*E10))+((B16*E16)+(B17*E17)+(B18*E18)+(B19*E19)+(B20*E20)+(B21*E21)+(B22*E22)+(B23*E23)+(B24*E24)+(B25*E25)+(B26*E26)+(B27*E27)+(B28*E28)+(B29*E29)+(B30*E30)+(B31*E31))*C46)</f>
        <v>822.6241789</v>
      </c>
      <c r="D47" s="17" t="s">
        <v>393</v>
      </c>
      <c r="E47" s="441">
        <f>(((C8*E8)+(C9*E9)+(C10*E10))+((C16*E16)+(C17*E17)+(C18*E18)+(C19*E19)+(C20*E20)+(C21*E21)+(C22*E22)+(C23*E23)+(C24*E24)+(C25*E25)+(C26*E26)+(C27*E27)+(C28*E28)+(C29*E29)+(C30*E30)+(C31*E31)))*E46</f>
        <v>0</v>
      </c>
      <c r="F47" s="442" t="s">
        <v>393</v>
      </c>
      <c r="G47" s="441">
        <f>((((D8*E8)+(D9*E9)+(D10*E10))+((D16*E16)+(D17*E17)+(D18*E18)+(D19*E19)+(D20*E20)+(D21*E21)+(D22*E22)+(D23*E23)+(D24*E24)+(D25*E25)+(D26*E26)+(D27*E27)+(D28*E28)+(D29*E29)+(D30*E30)+(D31*E31)))*G46)</f>
        <v>0</v>
      </c>
      <c r="H47" s="429"/>
      <c r="K47" s="39"/>
      <c r="L47" s="39"/>
      <c r="M47" s="39"/>
      <c r="N47" s="39"/>
      <c r="O47" s="39"/>
      <c r="P47" s="39"/>
      <c r="Q47" s="39"/>
      <c r="R47" s="39"/>
      <c r="S47" s="39"/>
      <c r="T47" s="39"/>
      <c r="U47" s="39"/>
      <c r="V47" s="39"/>
      <c r="W47" s="39"/>
      <c r="X47" s="39"/>
      <c r="Y47" s="39"/>
      <c r="Z47" s="39"/>
    </row>
    <row r="48" ht="12.75" customHeight="1">
      <c r="C48" s="429"/>
      <c r="E48" s="429"/>
      <c r="F48" s="429"/>
      <c r="G48" s="429"/>
      <c r="H48" s="429"/>
      <c r="K48" s="39"/>
      <c r="L48" s="39"/>
      <c r="M48" s="39"/>
      <c r="N48" s="39"/>
      <c r="O48" s="39"/>
      <c r="P48" s="39"/>
      <c r="Q48" s="39"/>
      <c r="R48" s="39"/>
      <c r="S48" s="39"/>
      <c r="T48" s="39"/>
      <c r="U48" s="39"/>
      <c r="V48" s="39"/>
      <c r="W48" s="39"/>
      <c r="X48" s="39"/>
      <c r="Y48" s="39"/>
      <c r="Z48" s="39"/>
    </row>
    <row r="49" ht="12.75" customHeight="1">
      <c r="A49" s="443" t="s">
        <v>518</v>
      </c>
      <c r="C49" s="429"/>
      <c r="D49" s="444"/>
      <c r="E49" s="429"/>
      <c r="F49" s="429"/>
      <c r="G49" s="429"/>
      <c r="H49" s="44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822.6241789</v>
      </c>
      <c r="K49" s="39"/>
      <c r="L49" s="39"/>
      <c r="M49" s="39"/>
      <c r="N49" s="39"/>
      <c r="O49" s="39"/>
      <c r="P49" s="39"/>
      <c r="Q49" s="39"/>
      <c r="R49" s="39"/>
      <c r="S49" s="39"/>
      <c r="T49" s="39"/>
      <c r="U49" s="39"/>
      <c r="V49" s="39"/>
      <c r="W49" s="39"/>
      <c r="X49" s="39"/>
      <c r="Y49" s="39"/>
      <c r="Z49" s="39"/>
    </row>
    <row r="50" ht="12.75" customHeight="1">
      <c r="A50" s="41" t="s">
        <v>519</v>
      </c>
      <c r="C50" s="429"/>
      <c r="H50" s="446">
        <f>IF('Data Entry'!C64="X",(4914.71*0.05)+4914.71,4914.71)</f>
        <v>5160.4455</v>
      </c>
      <c r="K50" s="39"/>
      <c r="L50" s="39"/>
      <c r="M50" s="39"/>
      <c r="N50" s="39"/>
      <c r="O50" s="39"/>
      <c r="P50" s="39"/>
      <c r="Q50" s="39"/>
      <c r="R50" s="39"/>
      <c r="S50" s="39"/>
      <c r="T50" s="39"/>
      <c r="U50" s="39"/>
      <c r="V50" s="39"/>
      <c r="W50" s="39"/>
      <c r="X50" s="39"/>
      <c r="Y50" s="39"/>
      <c r="Z50" s="39"/>
    </row>
    <row r="51" ht="12.75" customHeight="1">
      <c r="A51" s="440" t="s">
        <v>520</v>
      </c>
      <c r="C51" s="441">
        <f>H49</f>
        <v>822.6241789</v>
      </c>
      <c r="D51" s="17" t="s">
        <v>356</v>
      </c>
      <c r="E51" s="447">
        <f>H50</f>
        <v>5160.4455</v>
      </c>
      <c r="H51" s="446">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4245107.242</v>
      </c>
      <c r="K51" s="39"/>
      <c r="L51" s="39"/>
      <c r="M51" s="39"/>
      <c r="N51" s="39"/>
      <c r="O51" s="39"/>
      <c r="P51" s="39"/>
      <c r="Q51" s="39"/>
      <c r="R51" s="39"/>
      <c r="S51" s="39"/>
      <c r="T51" s="39"/>
      <c r="U51" s="39"/>
      <c r="V51" s="39"/>
      <c r="W51" s="39"/>
      <c r="X51" s="39"/>
      <c r="Y51" s="39"/>
      <c r="Z51" s="39"/>
    </row>
    <row r="52" ht="12.75" customHeight="1">
      <c r="A52" s="440"/>
      <c r="C52" s="381"/>
      <c r="D52" s="17"/>
      <c r="E52" s="406"/>
      <c r="H52" s="448"/>
      <c r="K52" s="39"/>
      <c r="L52" s="39"/>
      <c r="M52" s="39"/>
      <c r="N52" s="39"/>
      <c r="O52" s="39"/>
      <c r="P52" s="39"/>
      <c r="Q52" s="39"/>
      <c r="R52" s="39"/>
      <c r="S52" s="39"/>
      <c r="T52" s="39"/>
      <c r="U52" s="39"/>
      <c r="V52" s="39"/>
      <c r="W52" s="39"/>
      <c r="X52" s="39"/>
      <c r="Y52" s="39"/>
      <c r="Z52" s="39"/>
    </row>
    <row r="53" ht="12.75" customHeight="1">
      <c r="A53" s="51" t="s">
        <v>521</v>
      </c>
      <c r="H53" s="50"/>
      <c r="K53" s="39"/>
      <c r="L53" s="39"/>
      <c r="M53" s="39"/>
      <c r="N53" s="39"/>
      <c r="O53" s="39"/>
      <c r="P53" s="39"/>
      <c r="Q53" s="39"/>
      <c r="R53" s="39"/>
      <c r="S53" s="39"/>
      <c r="T53" s="39"/>
      <c r="U53" s="39"/>
      <c r="V53" s="39"/>
      <c r="W53" s="39"/>
      <c r="X53" s="39"/>
      <c r="Y53" s="39"/>
      <c r="Z53" s="39"/>
    </row>
    <row r="54" ht="12.75" customHeight="1">
      <c r="A54" s="51" t="s">
        <v>522</v>
      </c>
      <c r="H54" s="446">
        <f>ROUND(NonFedAuditExp,0)</f>
        <v>13000</v>
      </c>
      <c r="K54" s="39"/>
      <c r="L54" s="39"/>
      <c r="M54" s="39"/>
      <c r="N54" s="39"/>
      <c r="O54" s="39"/>
      <c r="P54" s="39"/>
      <c r="Q54" s="39"/>
      <c r="R54" s="39"/>
      <c r="S54" s="39"/>
      <c r="T54" s="39"/>
      <c r="U54" s="39"/>
      <c r="V54" s="39"/>
      <c r="W54" s="39"/>
      <c r="X54" s="39"/>
      <c r="Y54" s="39"/>
      <c r="Z54" s="39"/>
    </row>
    <row r="55" ht="12.75" customHeight="1">
      <c r="A55" s="51" t="s">
        <v>523</v>
      </c>
      <c r="H55" s="446">
        <f>ROUND(RemoteTimeAdjustment,0)</f>
        <v>0</v>
      </c>
      <c r="K55" s="39"/>
      <c r="L55" s="39"/>
      <c r="M55" s="39"/>
      <c r="N55" s="39"/>
      <c r="O55" s="39"/>
      <c r="P55" s="39"/>
      <c r="Q55" s="39"/>
      <c r="R55" s="39"/>
      <c r="S55" s="39"/>
      <c r="T55" s="39"/>
      <c r="U55" s="39"/>
      <c r="V55" s="39"/>
      <c r="W55" s="39"/>
      <c r="X55" s="39"/>
      <c r="Y55" s="39"/>
      <c r="Z55" s="39"/>
    </row>
    <row r="56" ht="12.75" customHeight="1">
      <c r="A56" s="51"/>
      <c r="H56" s="446"/>
      <c r="K56" s="39"/>
      <c r="L56" s="39"/>
      <c r="M56" s="39"/>
      <c r="N56" s="39"/>
      <c r="O56" s="39"/>
      <c r="P56" s="39"/>
      <c r="Q56" s="39"/>
      <c r="R56" s="39"/>
      <c r="S56" s="39"/>
      <c r="T56" s="39"/>
      <c r="U56" s="39"/>
      <c r="V56" s="39"/>
      <c r="W56" s="39"/>
      <c r="X56" s="39"/>
      <c r="Y56" s="39"/>
      <c r="Z56" s="39"/>
    </row>
    <row r="57" ht="12.75" customHeight="1">
      <c r="H57" s="1"/>
      <c r="K57" s="39"/>
      <c r="L57" s="39"/>
      <c r="M57" s="39"/>
      <c r="N57" s="39"/>
      <c r="O57" s="39"/>
      <c r="P57" s="39"/>
      <c r="Q57" s="39"/>
      <c r="R57" s="39"/>
      <c r="S57" s="39"/>
      <c r="T57" s="39"/>
      <c r="U57" s="39"/>
      <c r="V57" s="39"/>
      <c r="W57" s="39"/>
      <c r="X57" s="39"/>
      <c r="Y57" s="39"/>
      <c r="Z57" s="39"/>
    </row>
    <row r="58" ht="12.75" customHeight="1">
      <c r="A58" s="52" t="s">
        <v>524</v>
      </c>
      <c r="C58" s="447">
        <f>H51</f>
        <v>4245107.242</v>
      </c>
      <c r="D58" s="17" t="s">
        <v>390</v>
      </c>
      <c r="E58" s="447">
        <f>H54+H55</f>
        <v>13000</v>
      </c>
      <c r="H58" s="446">
        <f>C58+E58</f>
        <v>4258107.242</v>
      </c>
      <c r="K58" s="39"/>
      <c r="L58" s="39"/>
      <c r="M58" s="39"/>
      <c r="N58" s="39"/>
      <c r="O58" s="39"/>
      <c r="P58" s="39"/>
      <c r="Q58" s="39"/>
      <c r="R58" s="39"/>
      <c r="S58" s="39"/>
      <c r="T58" s="39"/>
      <c r="U58" s="39"/>
      <c r="V58" s="39"/>
      <c r="W58" s="39"/>
      <c r="X58" s="39"/>
      <c r="Y58" s="39"/>
      <c r="Z58" s="39"/>
    </row>
    <row r="59" ht="12.75" customHeight="1">
      <c r="K59" s="39"/>
      <c r="L59" s="39"/>
      <c r="M59" s="39"/>
      <c r="N59" s="39"/>
      <c r="O59" s="39"/>
      <c r="P59" s="39"/>
      <c r="Q59" s="39"/>
      <c r="R59" s="39"/>
      <c r="S59" s="39"/>
      <c r="T59" s="39"/>
      <c r="U59" s="39"/>
      <c r="V59" s="39"/>
      <c r="W59" s="39"/>
      <c r="X59" s="39"/>
      <c r="Y59" s="39"/>
      <c r="Z59" s="39"/>
    </row>
    <row r="60" ht="11.25" customHeight="1">
      <c r="A60" s="340" t="str">
        <f>A3</f>
        <v>Western School of Science and Technology</v>
      </c>
      <c r="K60" s="39"/>
      <c r="L60" s="39"/>
      <c r="M60" s="39"/>
      <c r="N60" s="39"/>
      <c r="O60" s="39"/>
      <c r="P60" s="39"/>
      <c r="Q60" s="39"/>
      <c r="R60" s="39"/>
      <c r="S60" s="39"/>
      <c r="T60" s="39"/>
      <c r="U60" s="39"/>
      <c r="V60" s="39"/>
      <c r="W60" s="39"/>
      <c r="X60" s="39"/>
      <c r="Y60" s="39"/>
      <c r="Z60" s="39"/>
    </row>
    <row r="61" ht="12.0" customHeight="1">
      <c r="A61" s="4" t="s">
        <v>475</v>
      </c>
      <c r="K61" s="39"/>
      <c r="L61" s="39"/>
      <c r="M61" s="39"/>
      <c r="N61" s="39"/>
      <c r="O61" s="39"/>
      <c r="P61" s="39"/>
      <c r="Q61" s="39"/>
      <c r="R61" s="39"/>
      <c r="S61" s="39"/>
      <c r="T61" s="39"/>
      <c r="U61" s="39"/>
      <c r="V61" s="39"/>
      <c r="W61" s="39"/>
      <c r="X61" s="39"/>
      <c r="Y61" s="39"/>
      <c r="Z61" s="39"/>
    </row>
    <row r="62" ht="12.75" customHeight="1">
      <c r="A62" s="4" t="s">
        <v>8</v>
      </c>
      <c r="K62" s="39"/>
      <c r="L62" s="39"/>
      <c r="M62" s="39"/>
      <c r="N62" s="39"/>
      <c r="O62" s="39"/>
      <c r="P62" s="39"/>
      <c r="Q62" s="39"/>
      <c r="R62" s="39"/>
      <c r="S62" s="39"/>
      <c r="T62" s="39"/>
      <c r="U62" s="39"/>
      <c r="V62" s="39"/>
      <c r="W62" s="39"/>
      <c r="X62" s="39"/>
      <c r="Y62" s="39"/>
      <c r="Z62" s="39"/>
    </row>
    <row r="63" ht="12.75" customHeight="1">
      <c r="A63" s="422"/>
      <c r="B63" s="422"/>
      <c r="C63" s="422"/>
      <c r="D63" s="422"/>
      <c r="E63" s="422"/>
      <c r="F63" s="422"/>
      <c r="G63" s="422"/>
      <c r="H63" s="422"/>
      <c r="I63" s="422"/>
      <c r="J63" s="423" t="s">
        <v>525</v>
      </c>
      <c r="K63" s="39"/>
      <c r="L63" s="39"/>
      <c r="M63" s="39"/>
      <c r="N63" s="39"/>
      <c r="O63" s="39"/>
      <c r="P63" s="39"/>
      <c r="Q63" s="39"/>
      <c r="R63" s="39"/>
      <c r="S63" s="39"/>
      <c r="T63" s="39"/>
      <c r="U63" s="39"/>
      <c r="V63" s="39"/>
      <c r="W63" s="39"/>
      <c r="X63" s="39"/>
      <c r="Y63" s="39"/>
      <c r="Z63" s="39"/>
    </row>
    <row r="64" ht="12.75" customHeight="1">
      <c r="K64" s="39"/>
      <c r="L64" s="39"/>
      <c r="M64" s="39"/>
      <c r="N64" s="39"/>
      <c r="O64" s="39"/>
      <c r="P64" s="39"/>
      <c r="Q64" s="39"/>
      <c r="R64" s="39"/>
      <c r="S64" s="39"/>
      <c r="T64" s="39"/>
      <c r="U64" s="39"/>
      <c r="V64" s="39"/>
      <c r="W64" s="39"/>
      <c r="X64" s="39"/>
      <c r="Y64" s="39"/>
      <c r="Z64" s="39"/>
    </row>
    <row r="65" ht="12.75" customHeight="1">
      <c r="A65" s="423" t="s">
        <v>526</v>
      </c>
      <c r="C65" s="449" t="s">
        <v>385</v>
      </c>
      <c r="D65" s="422"/>
      <c r="E65" s="449" t="s">
        <v>386</v>
      </c>
      <c r="F65" s="422"/>
      <c r="G65" s="449" t="s">
        <v>387</v>
      </c>
      <c r="K65" s="39"/>
      <c r="L65" s="39"/>
      <c r="M65" s="39"/>
      <c r="N65" s="39"/>
      <c r="O65" s="39"/>
      <c r="P65" s="39"/>
      <c r="Q65" s="39"/>
      <c r="R65" s="39"/>
      <c r="S65" s="39"/>
      <c r="T65" s="39"/>
      <c r="U65" s="39"/>
      <c r="V65" s="39"/>
      <c r="W65" s="39"/>
      <c r="X65" s="39"/>
      <c r="Y65" s="39"/>
      <c r="Z65" s="39"/>
    </row>
    <row r="66" ht="12.75" customHeight="1">
      <c r="A66" s="41" t="s">
        <v>527</v>
      </c>
      <c r="C66" s="450">
        <f>SUM(B8:D8)</f>
        <v>0</v>
      </c>
      <c r="D66" s="429"/>
      <c r="E66" s="450">
        <f>SUM(B9:D9)</f>
        <v>140</v>
      </c>
      <c r="F66" s="429"/>
      <c r="G66" s="450">
        <f>SUM(B10:D10)</f>
        <v>380</v>
      </c>
      <c r="K66" s="39"/>
      <c r="L66" s="39"/>
      <c r="M66" s="39"/>
      <c r="N66" s="39"/>
      <c r="O66" s="39"/>
      <c r="P66" s="39"/>
      <c r="Q66" s="39"/>
      <c r="R66" s="39"/>
      <c r="S66" s="39"/>
      <c r="T66" s="39"/>
      <c r="U66" s="39"/>
      <c r="V66" s="39"/>
      <c r="W66" s="39"/>
      <c r="X66" s="39"/>
      <c r="Y66" s="39"/>
      <c r="Z66" s="39"/>
    </row>
    <row r="67" ht="12.75" customHeight="1">
      <c r="A67" s="41" t="s">
        <v>528</v>
      </c>
      <c r="B67" s="17" t="s">
        <v>356</v>
      </c>
      <c r="C67" s="451">
        <v>2049.12</v>
      </c>
      <c r="D67" s="452" t="s">
        <v>356</v>
      </c>
      <c r="E67" s="451">
        <v>2049.12</v>
      </c>
      <c r="F67" s="452" t="s">
        <v>356</v>
      </c>
      <c r="G67" s="451">
        <v>2388.21</v>
      </c>
      <c r="K67" s="39"/>
      <c r="L67" s="39"/>
      <c r="M67" s="39"/>
      <c r="N67" s="39"/>
      <c r="O67" s="39"/>
      <c r="P67" s="39"/>
      <c r="Q67" s="39"/>
      <c r="R67" s="39"/>
      <c r="S67" s="39"/>
      <c r="T67" s="39"/>
      <c r="U67" s="39"/>
      <c r="V67" s="39"/>
      <c r="W67" s="39"/>
      <c r="X67" s="39"/>
      <c r="Y67" s="39"/>
      <c r="Z67" s="39"/>
    </row>
    <row r="68" ht="12.0" customHeight="1">
      <c r="A68" s="41" t="s">
        <v>529</v>
      </c>
      <c r="B68" s="17" t="s">
        <v>393</v>
      </c>
      <c r="C68" s="447">
        <f>C66*C67</f>
        <v>0</v>
      </c>
      <c r="D68" s="17" t="s">
        <v>393</v>
      </c>
      <c r="E68" s="447">
        <f>E66*E67</f>
        <v>286876.8</v>
      </c>
      <c r="F68" s="17" t="s">
        <v>393</v>
      </c>
      <c r="G68" s="447">
        <f>G66*G67</f>
        <v>907519.8</v>
      </c>
      <c r="K68" s="39"/>
      <c r="L68" s="39"/>
      <c r="M68" s="39"/>
      <c r="N68" s="39"/>
      <c r="O68" s="39"/>
      <c r="P68" s="39"/>
      <c r="Q68" s="39"/>
      <c r="R68" s="39"/>
      <c r="S68" s="39"/>
      <c r="T68" s="39"/>
      <c r="U68" s="39"/>
      <c r="V68" s="39"/>
      <c r="W68" s="39"/>
      <c r="X68" s="39"/>
      <c r="Y68" s="39"/>
      <c r="Z68" s="39"/>
    </row>
    <row r="69" ht="12.75" customHeight="1">
      <c r="A69" s="41" t="s">
        <v>530</v>
      </c>
      <c r="H69" s="446">
        <f>(C66*C67)+(E66*E67)+(G66*G67)</f>
        <v>1194396.6</v>
      </c>
      <c r="K69" s="39"/>
      <c r="L69" s="39"/>
      <c r="M69" s="39"/>
      <c r="N69" s="39"/>
      <c r="O69" s="39"/>
      <c r="P69" s="39"/>
      <c r="Q69" s="39"/>
      <c r="R69" s="39"/>
      <c r="S69" s="39"/>
      <c r="T69" s="39"/>
      <c r="U69" s="39"/>
      <c r="V69" s="39"/>
      <c r="W69" s="39"/>
      <c r="X69" s="39"/>
      <c r="Y69" s="39"/>
      <c r="Z69" s="39"/>
    </row>
    <row r="70" ht="12.75" customHeight="1">
      <c r="H70" s="444"/>
      <c r="K70" s="39"/>
      <c r="L70" s="39"/>
      <c r="M70" s="39"/>
      <c r="N70" s="39"/>
      <c r="O70" s="39"/>
      <c r="P70" s="39"/>
      <c r="Q70" s="39"/>
      <c r="R70" s="39"/>
      <c r="S70" s="39"/>
      <c r="T70" s="39"/>
      <c r="U70" s="39"/>
      <c r="V70" s="39"/>
      <c r="W70" s="39"/>
      <c r="X70" s="39"/>
      <c r="Y70" s="39"/>
      <c r="Z70" s="39"/>
    </row>
    <row r="71" ht="12.75" customHeight="1">
      <c r="A71" s="440" t="s">
        <v>531</v>
      </c>
      <c r="H71" s="444"/>
      <c r="K71" s="39"/>
      <c r="L71" s="39"/>
      <c r="M71" s="39"/>
      <c r="N71" s="39"/>
      <c r="O71" s="39"/>
      <c r="P71" s="39"/>
      <c r="Q71" s="39"/>
      <c r="R71" s="39"/>
      <c r="S71" s="39"/>
      <c r="T71" s="39"/>
      <c r="U71" s="39"/>
      <c r="V71" s="39"/>
      <c r="W71" s="39"/>
      <c r="X71" s="39"/>
      <c r="Y71" s="39"/>
      <c r="Z71" s="39"/>
    </row>
    <row r="72" ht="12.75" customHeight="1">
      <c r="H72" s="444"/>
      <c r="K72" s="39"/>
      <c r="L72" s="39"/>
      <c r="M72" s="39"/>
      <c r="N72" s="39"/>
      <c r="O72" s="39"/>
      <c r="P72" s="39"/>
      <c r="Q72" s="39"/>
      <c r="R72" s="39"/>
      <c r="S72" s="39"/>
      <c r="T72" s="39"/>
      <c r="U72" s="39"/>
      <c r="V72" s="39"/>
      <c r="W72" s="39"/>
      <c r="X72" s="39"/>
      <c r="Y72" s="39"/>
      <c r="Z72" s="39"/>
    </row>
    <row r="73" ht="12.75" customHeight="1">
      <c r="A73" s="50" t="s">
        <v>532</v>
      </c>
      <c r="H73" s="446">
        <f>C68+E68+G68</f>
        <v>1194396.6</v>
      </c>
      <c r="K73" s="39"/>
      <c r="L73" s="39"/>
      <c r="M73" s="39"/>
      <c r="N73" s="39"/>
      <c r="O73" s="39"/>
      <c r="P73" s="39"/>
      <c r="Q73" s="39"/>
      <c r="R73" s="39"/>
      <c r="S73" s="39"/>
      <c r="T73" s="39"/>
      <c r="U73" s="39"/>
      <c r="V73" s="39"/>
      <c r="W73" s="39"/>
      <c r="X73" s="39"/>
      <c r="Y73" s="39"/>
      <c r="Z73" s="39"/>
    </row>
    <row r="74" ht="12.75" customHeight="1">
      <c r="H74" s="444"/>
      <c r="K74" s="39"/>
      <c r="L74" s="39"/>
      <c r="M74" s="39"/>
      <c r="N74" s="39"/>
      <c r="O74" s="39"/>
      <c r="P74" s="39"/>
      <c r="Q74" s="39"/>
      <c r="R74" s="39"/>
      <c r="S74" s="39"/>
      <c r="T74" s="39"/>
      <c r="U74" s="39"/>
      <c r="V74" s="39"/>
      <c r="W74" s="39"/>
      <c r="X74" s="39"/>
      <c r="Y74" s="39"/>
      <c r="Z74" s="39"/>
    </row>
    <row r="75" ht="12.75" customHeight="1">
      <c r="A75" s="50" t="s">
        <v>533</v>
      </c>
      <c r="H75" s="444"/>
      <c r="K75" s="39"/>
      <c r="L75" s="39"/>
      <c r="M75" s="39"/>
      <c r="N75" s="39"/>
      <c r="O75" s="39"/>
      <c r="P75" s="39"/>
      <c r="Q75" s="39"/>
      <c r="R75" s="39"/>
      <c r="S75" s="39"/>
      <c r="T75" s="39"/>
      <c r="U75" s="39"/>
      <c r="V75" s="39"/>
      <c r="W75" s="39"/>
      <c r="X75" s="39"/>
      <c r="Y75" s="39"/>
      <c r="Z75" s="39"/>
    </row>
    <row r="76" ht="12.75" customHeight="1">
      <c r="A76" s="24" t="s">
        <v>534</v>
      </c>
      <c r="C76" s="447">
        <f>H58</f>
        <v>4258107.242</v>
      </c>
      <c r="H76" s="444"/>
      <c r="K76" s="39"/>
      <c r="L76" s="39"/>
      <c r="M76" s="39"/>
      <c r="N76" s="39"/>
      <c r="O76" s="39"/>
      <c r="P76" s="39"/>
      <c r="Q76" s="39"/>
      <c r="R76" s="39"/>
      <c r="S76" s="39"/>
      <c r="T76" s="39"/>
      <c r="U76" s="39"/>
      <c r="V76" s="39"/>
      <c r="W76" s="39"/>
      <c r="X76" s="39"/>
      <c r="Y76" s="39"/>
      <c r="Z76" s="39"/>
    </row>
    <row r="77" ht="12.75" customHeight="1">
      <c r="A77" s="24" t="s">
        <v>535</v>
      </c>
      <c r="B77" s="17" t="s">
        <v>390</v>
      </c>
      <c r="C77" s="447">
        <f>H73</f>
        <v>1194396.6</v>
      </c>
      <c r="H77" s="444"/>
      <c r="K77" s="39"/>
      <c r="L77" s="39"/>
      <c r="M77" s="39"/>
      <c r="N77" s="39"/>
      <c r="O77" s="39"/>
      <c r="P77" s="39"/>
      <c r="Q77" s="39"/>
      <c r="R77" s="39"/>
      <c r="S77" s="39"/>
      <c r="T77" s="39"/>
      <c r="U77" s="39"/>
      <c r="V77" s="39"/>
      <c r="W77" s="39"/>
      <c r="X77" s="39"/>
      <c r="Y77" s="39"/>
      <c r="Z77" s="39"/>
    </row>
    <row r="78" ht="12.75" customHeight="1">
      <c r="B78" s="17" t="s">
        <v>393</v>
      </c>
      <c r="C78" s="447">
        <f>C76+C77</f>
        <v>5452503.842</v>
      </c>
      <c r="H78" s="444"/>
      <c r="K78" s="39"/>
      <c r="L78" s="39"/>
      <c r="M78" s="39"/>
      <c r="N78" s="39"/>
      <c r="O78" s="39"/>
      <c r="P78" s="39"/>
      <c r="Q78" s="39"/>
      <c r="R78" s="39"/>
      <c r="S78" s="39"/>
      <c r="T78" s="39"/>
      <c r="U78" s="39"/>
      <c r="V78" s="39"/>
      <c r="W78" s="39"/>
      <c r="X78" s="39"/>
      <c r="Y78" s="39"/>
      <c r="Z78" s="39"/>
    </row>
    <row r="79" ht="12.75" customHeight="1">
      <c r="A79" s="50" t="s">
        <v>536</v>
      </c>
      <c r="H79" s="446">
        <f>C78</f>
        <v>5452503.842</v>
      </c>
      <c r="K79" s="39"/>
      <c r="L79" s="39"/>
      <c r="M79" s="39"/>
      <c r="N79" s="39"/>
      <c r="O79" s="39"/>
      <c r="P79" s="39"/>
      <c r="Q79" s="39"/>
      <c r="R79" s="39"/>
      <c r="S79" s="39"/>
      <c r="T79" s="39"/>
      <c r="U79" s="39"/>
      <c r="V79" s="39"/>
      <c r="W79" s="39"/>
      <c r="X79" s="39"/>
      <c r="Y79" s="39"/>
      <c r="Z79" s="39"/>
    </row>
    <row r="80" ht="12.75" customHeight="1">
      <c r="H80" s="444"/>
      <c r="K80" s="39"/>
      <c r="L80" s="39"/>
      <c r="M80" s="39"/>
      <c r="N80" s="39"/>
      <c r="O80" s="39"/>
      <c r="P80" s="39"/>
      <c r="Q80" s="39"/>
      <c r="R80" s="39"/>
      <c r="S80" s="39"/>
      <c r="T80" s="39"/>
      <c r="U80" s="39"/>
      <c r="V80" s="39"/>
      <c r="W80" s="39"/>
      <c r="X80" s="39"/>
      <c r="Y80" s="39"/>
      <c r="Z80" s="39"/>
    </row>
    <row r="81" ht="12.75" customHeight="1">
      <c r="H81" s="444"/>
      <c r="K81" s="39"/>
      <c r="L81" s="39"/>
      <c r="M81" s="39"/>
      <c r="N81" s="39"/>
      <c r="O81" s="39"/>
      <c r="P81" s="39"/>
      <c r="Q81" s="39"/>
      <c r="R81" s="39"/>
      <c r="S81" s="39"/>
      <c r="T81" s="39"/>
      <c r="U81" s="39"/>
      <c r="V81" s="39"/>
      <c r="W81" s="39"/>
      <c r="X81" s="39"/>
      <c r="Y81" s="39"/>
      <c r="Z81" s="39"/>
    </row>
    <row r="82" ht="12.75" customHeight="1">
      <c r="H82" s="446">
        <f>H79</f>
        <v>5452503.842</v>
      </c>
      <c r="K82" s="39"/>
      <c r="L82" s="39"/>
      <c r="M82" s="39"/>
      <c r="N82" s="39"/>
      <c r="O82" s="39"/>
      <c r="P82" s="39"/>
      <c r="Q82" s="39"/>
      <c r="R82" s="39"/>
      <c r="S82" s="39"/>
      <c r="T82" s="39"/>
      <c r="U82" s="39"/>
      <c r="V82" s="39"/>
      <c r="W82" s="39"/>
      <c r="X82" s="39"/>
      <c r="Y82" s="39"/>
      <c r="Z82" s="39"/>
    </row>
    <row r="83" ht="12.75" customHeight="1">
      <c r="H83" s="30"/>
      <c r="K83" s="39"/>
      <c r="L83" s="39"/>
      <c r="M83" s="39"/>
      <c r="N83" s="39"/>
      <c r="O83" s="39"/>
      <c r="P83" s="39"/>
      <c r="Q83" s="39"/>
      <c r="R83" s="39"/>
      <c r="S83" s="39"/>
      <c r="T83" s="39"/>
      <c r="U83" s="39"/>
      <c r="V83" s="39"/>
      <c r="W83" s="39"/>
      <c r="X83" s="39"/>
      <c r="Y83" s="39"/>
      <c r="Z83" s="39"/>
    </row>
    <row r="8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1.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42.0"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42.0"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42.0"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30.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2">
    <mergeCell ref="A37:J37"/>
    <mergeCell ref="A38:J38"/>
    <mergeCell ref="A60:J60"/>
    <mergeCell ref="A61:J61"/>
    <mergeCell ref="A62:J62"/>
    <mergeCell ref="B1:C1"/>
    <mergeCell ref="E1:G1"/>
    <mergeCell ref="I1:J1"/>
    <mergeCell ref="A3:J3"/>
    <mergeCell ref="A4:J4"/>
    <mergeCell ref="A5:J5"/>
    <mergeCell ref="A36:J36"/>
  </mergeCells>
  <printOptions/>
  <pageMargins bottom="0.75" footer="0.0" header="0.0" left="0.7" right="0.7" top="0.75"/>
  <pageSetup orientation="landscape"/>
  <headerFooter>
    <oddFooter>&amp;LRev. 5/24 Arizona Department of Education and Auditor General&amp;RBSA55</oddFooter>
  </headerFooter>
  <rowBreaks count="2" manualBreakCount="2">
    <brk id="35" man="1"/>
    <brk id="59" man="1"/>
  </row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3.0"/>
    <col customWidth="1" min="2" max="2" width="23.38"/>
    <col customWidth="1" min="3" max="3" width="88.63"/>
    <col customWidth="1" min="4" max="4" width="26.38"/>
    <col customWidth="1" min="5" max="5" width="9.38"/>
    <col customWidth="1" min="6" max="6" width="89.0"/>
    <col customWidth="1" min="7" max="26" width="9.38"/>
  </cols>
  <sheetData>
    <row r="1" ht="51.75" customHeight="1">
      <c r="A1" s="453" t="s">
        <v>537</v>
      </c>
      <c r="B1" s="453" t="s">
        <v>538</v>
      </c>
      <c r="C1" s="454" t="s">
        <v>539</v>
      </c>
      <c r="D1" s="453" t="s">
        <v>540</v>
      </c>
    </row>
    <row r="2" ht="234.75" customHeight="1">
      <c r="A2" s="455" t="s">
        <v>541</v>
      </c>
      <c r="B2" s="425" t="s">
        <v>542</v>
      </c>
      <c r="C2" s="41" t="s">
        <v>543</v>
      </c>
      <c r="D2" s="41"/>
      <c r="F2" s="51"/>
    </row>
    <row r="3" ht="44.25" customHeight="1">
      <c r="A3" s="455" t="s">
        <v>541</v>
      </c>
      <c r="B3" s="425" t="s">
        <v>4</v>
      </c>
      <c r="C3" s="41" t="s">
        <v>544</v>
      </c>
      <c r="D3" s="41"/>
    </row>
    <row r="4" ht="76.5" customHeight="1">
      <c r="A4" s="455" t="s">
        <v>541</v>
      </c>
      <c r="B4" s="425" t="s">
        <v>25</v>
      </c>
      <c r="C4" s="41" t="s">
        <v>545</v>
      </c>
      <c r="D4" s="41"/>
    </row>
    <row r="5" ht="37.5" customHeight="1">
      <c r="A5" s="455" t="s">
        <v>541</v>
      </c>
      <c r="B5" s="425" t="s">
        <v>546</v>
      </c>
      <c r="C5" s="41" t="s">
        <v>547</v>
      </c>
      <c r="D5" s="41"/>
    </row>
    <row r="6" ht="112.5" customHeight="1">
      <c r="A6" s="455" t="s">
        <v>541</v>
      </c>
      <c r="B6" s="425" t="s">
        <v>346</v>
      </c>
      <c r="C6" s="41" t="s">
        <v>548</v>
      </c>
      <c r="D6" s="41"/>
    </row>
    <row r="7" ht="38.25" customHeight="1">
      <c r="A7" s="456" t="s">
        <v>549</v>
      </c>
      <c r="B7" s="425" t="s">
        <v>549</v>
      </c>
      <c r="C7" s="41" t="s">
        <v>550</v>
      </c>
      <c r="D7" s="41"/>
    </row>
    <row r="8" ht="165.75" customHeight="1">
      <c r="A8" s="457" t="s">
        <v>551</v>
      </c>
      <c r="B8" s="458" t="s">
        <v>551</v>
      </c>
      <c r="C8" s="459" t="s">
        <v>552</v>
      </c>
      <c r="D8" s="459" t="s">
        <v>553</v>
      </c>
    </row>
    <row r="9" ht="175.5" customHeight="1">
      <c r="A9" s="455" t="s">
        <v>554</v>
      </c>
      <c r="B9" s="425" t="s">
        <v>542</v>
      </c>
      <c r="C9" s="41" t="s">
        <v>555</v>
      </c>
      <c r="D9" s="41"/>
      <c r="F9" s="41"/>
    </row>
    <row r="10" ht="87.75" customHeight="1">
      <c r="A10" s="455" t="s">
        <v>554</v>
      </c>
      <c r="B10" s="425" t="s">
        <v>556</v>
      </c>
      <c r="C10" s="41" t="s">
        <v>557</v>
      </c>
      <c r="D10" s="41"/>
    </row>
    <row r="11" ht="17.25" customHeight="1">
      <c r="A11" s="460"/>
      <c r="B11" s="425"/>
      <c r="C11" s="461" t="s">
        <v>558</v>
      </c>
      <c r="D11" s="41"/>
    </row>
    <row r="12" ht="49.5" customHeight="1">
      <c r="A12" s="455" t="s">
        <v>554</v>
      </c>
      <c r="B12" s="425" t="s">
        <v>559</v>
      </c>
      <c r="C12" s="41" t="s">
        <v>560</v>
      </c>
      <c r="D12" s="41"/>
    </row>
    <row r="13" ht="47.25" customHeight="1">
      <c r="A13" s="462" t="s">
        <v>554</v>
      </c>
      <c r="B13" s="458" t="s">
        <v>561</v>
      </c>
      <c r="C13" s="459" t="s">
        <v>562</v>
      </c>
      <c r="D13" s="459" t="s">
        <v>563</v>
      </c>
    </row>
    <row r="14" ht="81.75" customHeight="1">
      <c r="A14" s="455" t="s">
        <v>564</v>
      </c>
      <c r="B14" s="425" t="s">
        <v>203</v>
      </c>
      <c r="C14" s="41" t="s">
        <v>565</v>
      </c>
      <c r="D14" s="463"/>
    </row>
    <row r="15" ht="133.5" customHeight="1">
      <c r="A15" s="455" t="s">
        <v>564</v>
      </c>
      <c r="B15" s="425" t="s">
        <v>566</v>
      </c>
      <c r="C15" s="41" t="s">
        <v>567</v>
      </c>
      <c r="D15" s="41"/>
    </row>
    <row r="16" ht="127.5" customHeight="1">
      <c r="A16" s="455" t="s">
        <v>564</v>
      </c>
      <c r="B16" s="425" t="s">
        <v>568</v>
      </c>
      <c r="C16" s="41" t="s">
        <v>569</v>
      </c>
      <c r="D16" s="41"/>
    </row>
    <row r="17" ht="52.5" customHeight="1">
      <c r="A17" s="464" t="s">
        <v>564</v>
      </c>
      <c r="B17" s="465" t="s">
        <v>273</v>
      </c>
      <c r="C17" s="466" t="s">
        <v>570</v>
      </c>
      <c r="D17" s="467"/>
    </row>
    <row r="18" ht="125.25" customHeight="1">
      <c r="A18" s="455" t="s">
        <v>564</v>
      </c>
      <c r="B18" s="425" t="s">
        <v>279</v>
      </c>
      <c r="C18" s="41" t="s">
        <v>571</v>
      </c>
      <c r="D18" s="41"/>
      <c r="F18" s="41"/>
    </row>
    <row r="19" ht="45.75" customHeight="1">
      <c r="A19" s="455" t="s">
        <v>564</v>
      </c>
      <c r="B19" s="425" t="s">
        <v>204</v>
      </c>
      <c r="C19" s="41" t="s">
        <v>572</v>
      </c>
      <c r="D19" s="41"/>
    </row>
    <row r="20" ht="32.25" customHeight="1">
      <c r="A20" s="455" t="s">
        <v>564</v>
      </c>
      <c r="B20" s="425" t="s">
        <v>573</v>
      </c>
      <c r="C20" s="41" t="s">
        <v>574</v>
      </c>
      <c r="D20" s="41"/>
    </row>
    <row r="21" ht="54.0" customHeight="1">
      <c r="A21" s="455" t="s">
        <v>564</v>
      </c>
      <c r="B21" s="425" t="s">
        <v>575</v>
      </c>
      <c r="C21" s="41" t="s">
        <v>576</v>
      </c>
      <c r="D21" s="463"/>
    </row>
    <row r="22" ht="63.75" customHeight="1">
      <c r="A22" s="455" t="s">
        <v>564</v>
      </c>
      <c r="B22" s="425" t="s">
        <v>255</v>
      </c>
      <c r="C22" s="41" t="s">
        <v>577</v>
      </c>
      <c r="D22" s="41"/>
    </row>
    <row r="23" ht="116.25" customHeight="1">
      <c r="A23" s="455" t="s">
        <v>564</v>
      </c>
      <c r="B23" s="425" t="s">
        <v>578</v>
      </c>
      <c r="C23" s="41" t="s">
        <v>579</v>
      </c>
      <c r="D23" s="41"/>
    </row>
    <row r="24" ht="35.25" customHeight="1">
      <c r="A24" s="455" t="s">
        <v>564</v>
      </c>
      <c r="B24" s="425" t="s">
        <v>580</v>
      </c>
      <c r="C24" s="41" t="s">
        <v>581</v>
      </c>
      <c r="D24" s="41"/>
    </row>
    <row r="25" ht="39.0" customHeight="1">
      <c r="A25" s="455" t="s">
        <v>564</v>
      </c>
      <c r="B25" s="425" t="s">
        <v>582</v>
      </c>
      <c r="C25" s="41" t="s">
        <v>583</v>
      </c>
      <c r="D25" s="41"/>
    </row>
    <row r="26" ht="69.0" customHeight="1">
      <c r="A26" s="455" t="s">
        <v>564</v>
      </c>
      <c r="B26" s="425" t="s">
        <v>277</v>
      </c>
      <c r="C26" s="41" t="s">
        <v>584</v>
      </c>
      <c r="D26" s="41"/>
      <c r="F26" s="41"/>
    </row>
    <row r="27" ht="12.75" customHeight="1">
      <c r="A27" s="462" t="s">
        <v>585</v>
      </c>
      <c r="B27" s="458" t="s">
        <v>338</v>
      </c>
      <c r="C27" s="459" t="s">
        <v>586</v>
      </c>
      <c r="D27" s="468" t="s">
        <v>587</v>
      </c>
    </row>
    <row r="28" ht="102.0" customHeight="1">
      <c r="A28" s="455" t="s">
        <v>585</v>
      </c>
      <c r="B28" s="425" t="s">
        <v>338</v>
      </c>
      <c r="C28" s="41" t="s">
        <v>588</v>
      </c>
      <c r="D28" s="41"/>
    </row>
    <row r="29" ht="84.0" customHeight="1">
      <c r="A29" s="455" t="s">
        <v>585</v>
      </c>
      <c r="B29" s="425" t="s">
        <v>589</v>
      </c>
      <c r="C29" s="41" t="s">
        <v>590</v>
      </c>
      <c r="D29" s="41"/>
      <c r="F29" s="41"/>
    </row>
    <row r="30" ht="57.75" customHeight="1">
      <c r="A30" s="455" t="s">
        <v>591</v>
      </c>
      <c r="B30" s="425" t="s">
        <v>592</v>
      </c>
      <c r="C30" s="41" t="s">
        <v>593</v>
      </c>
      <c r="D30" s="41"/>
    </row>
    <row r="31" ht="56.25" customHeight="1">
      <c r="A31" s="455" t="s">
        <v>591</v>
      </c>
      <c r="B31" s="425" t="s">
        <v>594</v>
      </c>
      <c r="C31" s="41" t="s">
        <v>595</v>
      </c>
      <c r="D31" s="41"/>
    </row>
    <row r="32" ht="45.0" customHeight="1">
      <c r="A32" s="456" t="s">
        <v>596</v>
      </c>
      <c r="B32" s="425" t="s">
        <v>542</v>
      </c>
      <c r="C32" s="41" t="s">
        <v>597</v>
      </c>
      <c r="D32" s="41"/>
    </row>
    <row r="33" ht="45.0" customHeight="1">
      <c r="A33" s="457" t="s">
        <v>598</v>
      </c>
      <c r="B33" s="458" t="s">
        <v>599</v>
      </c>
      <c r="C33" s="459" t="s">
        <v>600</v>
      </c>
      <c r="D33" s="459" t="s">
        <v>601</v>
      </c>
    </row>
    <row r="34" ht="46.5" customHeight="1">
      <c r="A34" s="457" t="s">
        <v>598</v>
      </c>
      <c r="B34" s="458" t="s">
        <v>602</v>
      </c>
      <c r="C34" s="459" t="s">
        <v>603</v>
      </c>
      <c r="D34" s="459" t="s">
        <v>601</v>
      </c>
    </row>
    <row r="35" ht="47.25" customHeight="1">
      <c r="A35" s="457" t="s">
        <v>598</v>
      </c>
      <c r="B35" s="458" t="s">
        <v>604</v>
      </c>
      <c r="C35" s="459" t="s">
        <v>605</v>
      </c>
      <c r="D35" s="459" t="s">
        <v>601</v>
      </c>
    </row>
    <row r="36" ht="50.25" customHeight="1">
      <c r="A36" s="457" t="s">
        <v>598</v>
      </c>
      <c r="B36" s="458" t="s">
        <v>606</v>
      </c>
      <c r="C36" s="459" t="s">
        <v>607</v>
      </c>
      <c r="D36" s="459" t="s">
        <v>601</v>
      </c>
    </row>
    <row r="37" ht="56.25" customHeight="1">
      <c r="A37" s="457" t="s">
        <v>598</v>
      </c>
      <c r="B37" s="458" t="s">
        <v>608</v>
      </c>
      <c r="C37" s="459" t="s">
        <v>609</v>
      </c>
      <c r="D37" s="459" t="s">
        <v>601</v>
      </c>
    </row>
    <row r="38" ht="61.5" customHeight="1">
      <c r="A38" s="457" t="s">
        <v>598</v>
      </c>
      <c r="B38" s="458" t="s">
        <v>610</v>
      </c>
      <c r="C38" s="459" t="s">
        <v>611</v>
      </c>
      <c r="D38" s="459" t="s">
        <v>601</v>
      </c>
    </row>
    <row r="39" ht="72.0" customHeight="1">
      <c r="A39" s="457" t="s">
        <v>598</v>
      </c>
      <c r="B39" s="458" t="s">
        <v>612</v>
      </c>
      <c r="C39" s="459" t="s">
        <v>613</v>
      </c>
      <c r="D39" s="459" t="s">
        <v>601</v>
      </c>
    </row>
    <row r="40" ht="61.5" customHeight="1">
      <c r="A40" s="457" t="s">
        <v>598</v>
      </c>
      <c r="B40" s="458" t="s">
        <v>614</v>
      </c>
      <c r="C40" s="459" t="s">
        <v>615</v>
      </c>
      <c r="D40" s="459" t="s">
        <v>601</v>
      </c>
    </row>
    <row r="41" ht="48.0" customHeight="1">
      <c r="A41" s="457" t="s">
        <v>598</v>
      </c>
      <c r="B41" s="458" t="s">
        <v>616</v>
      </c>
      <c r="C41" s="459" t="s">
        <v>617</v>
      </c>
      <c r="D41" s="459" t="s">
        <v>601</v>
      </c>
    </row>
    <row r="42" ht="12.75" customHeight="1">
      <c r="A42" s="457" t="s">
        <v>598</v>
      </c>
      <c r="B42" s="458" t="s">
        <v>618</v>
      </c>
      <c r="C42" s="459" t="s">
        <v>619</v>
      </c>
      <c r="D42" s="459" t="s">
        <v>601</v>
      </c>
    </row>
    <row r="43" ht="12.75" customHeight="1">
      <c r="A43" s="469"/>
      <c r="B43" s="425"/>
      <c r="C43" s="51"/>
      <c r="D43" s="41"/>
    </row>
    <row r="44" ht="12.75" customHeight="1">
      <c r="A44" s="469"/>
      <c r="B44" s="425"/>
      <c r="C44" s="51"/>
      <c r="D44" s="41"/>
    </row>
    <row r="45" ht="12.75" customHeight="1">
      <c r="A45" s="469"/>
      <c r="B45" s="425"/>
      <c r="C45" s="51"/>
      <c r="D45" s="41"/>
    </row>
    <row r="46" ht="12.75" customHeight="1">
      <c r="A46" s="469"/>
      <c r="B46" s="425"/>
      <c r="C46" s="51"/>
      <c r="D46" s="41"/>
    </row>
    <row r="47" ht="12.75" customHeight="1">
      <c r="A47" s="469"/>
      <c r="B47" s="425"/>
      <c r="C47" s="51"/>
      <c r="D47" s="41"/>
    </row>
    <row r="48" ht="12.75" customHeight="1">
      <c r="A48" s="469"/>
      <c r="B48" s="425"/>
      <c r="C48" s="51"/>
      <c r="D48" s="41"/>
    </row>
    <row r="49" ht="12.75" customHeight="1">
      <c r="A49" s="469"/>
      <c r="B49" s="425"/>
      <c r="C49" s="51"/>
      <c r="D49" s="41"/>
    </row>
    <row r="50" ht="12.75" customHeight="1">
      <c r="A50" s="469"/>
      <c r="B50" s="425"/>
      <c r="C50" s="51"/>
      <c r="D50" s="41"/>
    </row>
    <row r="51" ht="12.75" customHeight="1">
      <c r="A51" s="469"/>
      <c r="B51" s="425"/>
      <c r="C51" s="51"/>
      <c r="D51" s="41"/>
    </row>
    <row r="52" ht="12.75" customHeight="1">
      <c r="A52" s="469"/>
      <c r="B52" s="425"/>
      <c r="C52" s="51"/>
      <c r="D52" s="41"/>
    </row>
    <row r="53" ht="12.75" customHeight="1">
      <c r="A53" s="469"/>
      <c r="B53" s="425"/>
      <c r="C53" s="51"/>
      <c r="D53" s="41"/>
    </row>
    <row r="54" ht="12.75" customHeight="1">
      <c r="A54" s="469"/>
      <c r="B54" s="425"/>
      <c r="C54" s="51"/>
      <c r="D54" s="41"/>
    </row>
    <row r="55" ht="12.75" customHeight="1">
      <c r="A55" s="469"/>
      <c r="B55" s="425"/>
      <c r="C55" s="51"/>
      <c r="D55" s="41"/>
    </row>
    <row r="56" ht="12.75" customHeight="1">
      <c r="A56" s="469"/>
      <c r="B56" s="425"/>
      <c r="C56" s="51"/>
      <c r="D56" s="41"/>
    </row>
    <row r="57" ht="12.75" customHeight="1">
      <c r="A57" s="469"/>
      <c r="B57" s="425"/>
      <c r="C57" s="51"/>
      <c r="D57" s="41"/>
    </row>
    <row r="58" ht="12.75" customHeight="1">
      <c r="A58" s="469"/>
      <c r="B58" s="425"/>
      <c r="C58" s="51"/>
      <c r="D58" s="41"/>
    </row>
    <row r="59" ht="12.75" customHeight="1">
      <c r="A59" s="469"/>
      <c r="B59" s="425"/>
      <c r="C59" s="51"/>
      <c r="D59" s="41"/>
    </row>
    <row r="60" ht="12.75" customHeight="1">
      <c r="A60" s="469"/>
      <c r="B60" s="425"/>
      <c r="C60" s="51"/>
      <c r="D60" s="41"/>
    </row>
    <row r="61" ht="12.75" customHeight="1">
      <c r="A61" s="469"/>
      <c r="B61" s="425"/>
      <c r="C61" s="51"/>
      <c r="D61" s="41"/>
    </row>
    <row r="62" ht="12.75" customHeight="1">
      <c r="A62" s="469"/>
      <c r="B62" s="425"/>
      <c r="C62" s="51"/>
      <c r="D62" s="41"/>
    </row>
    <row r="63" ht="12.75" customHeight="1">
      <c r="A63" s="469"/>
      <c r="B63" s="425"/>
      <c r="C63" s="51"/>
      <c r="D63" s="41"/>
    </row>
    <row r="64" ht="12.75" customHeight="1">
      <c r="A64" s="469"/>
      <c r="B64" s="425"/>
      <c r="C64" s="51"/>
      <c r="D64" s="41"/>
    </row>
    <row r="65" ht="12.75" customHeight="1">
      <c r="A65" s="469"/>
      <c r="B65" s="425"/>
      <c r="C65" s="51"/>
      <c r="D65" s="41"/>
    </row>
    <row r="66" ht="12.75" customHeight="1">
      <c r="A66" s="469"/>
      <c r="B66" s="425"/>
      <c r="C66" s="51"/>
      <c r="D66" s="41"/>
    </row>
    <row r="67" ht="12.75" customHeight="1">
      <c r="A67" s="469"/>
      <c r="B67" s="425"/>
      <c r="C67" s="51"/>
      <c r="D67" s="41"/>
    </row>
    <row r="68" ht="12.75" customHeight="1">
      <c r="A68" s="469"/>
      <c r="B68" s="425"/>
      <c r="C68" s="51"/>
      <c r="D68" s="41"/>
    </row>
    <row r="69" ht="12.75" customHeight="1">
      <c r="A69" s="469"/>
      <c r="B69" s="425"/>
      <c r="C69" s="51"/>
      <c r="D69" s="41"/>
    </row>
    <row r="70" ht="12.75" customHeight="1">
      <c r="A70" s="469"/>
      <c r="B70" s="425"/>
      <c r="C70" s="51"/>
      <c r="D70" s="41"/>
    </row>
    <row r="71" ht="12.75" customHeight="1">
      <c r="A71" s="469"/>
      <c r="B71" s="425"/>
      <c r="C71" s="51"/>
      <c r="D71" s="41"/>
    </row>
    <row r="72" ht="12.75" customHeight="1">
      <c r="A72" s="469"/>
      <c r="B72" s="425"/>
      <c r="C72" s="51"/>
      <c r="D72" s="41"/>
    </row>
    <row r="73" ht="12.75" customHeight="1">
      <c r="A73" s="469"/>
      <c r="B73" s="425"/>
      <c r="C73" s="51"/>
      <c r="D73" s="41"/>
    </row>
    <row r="74" ht="12.75" customHeight="1">
      <c r="A74" s="469"/>
      <c r="B74" s="425"/>
      <c r="C74" s="51"/>
      <c r="D74" s="41"/>
    </row>
    <row r="75" ht="12.75" customHeight="1">
      <c r="A75" s="469"/>
      <c r="B75" s="425"/>
      <c r="C75" s="51"/>
      <c r="D75" s="41"/>
    </row>
    <row r="76" ht="12.75" customHeight="1">
      <c r="A76" s="469"/>
      <c r="B76" s="425"/>
      <c r="C76" s="51"/>
      <c r="D76" s="41"/>
    </row>
    <row r="77" ht="12.75" customHeight="1">
      <c r="A77" s="469"/>
      <c r="B77" s="425"/>
      <c r="C77" s="51"/>
      <c r="D77" s="41"/>
    </row>
    <row r="78" ht="12.75" customHeight="1">
      <c r="A78" s="469"/>
      <c r="B78" s="425"/>
      <c r="C78" s="51"/>
      <c r="D78" s="41"/>
    </row>
    <row r="79" ht="12.75" customHeight="1">
      <c r="A79" s="469"/>
      <c r="B79" s="425"/>
      <c r="C79" s="51"/>
      <c r="D79" s="41"/>
    </row>
    <row r="80" ht="12.75" customHeight="1">
      <c r="A80" s="469"/>
      <c r="B80" s="425"/>
      <c r="C80" s="51"/>
      <c r="D80" s="41"/>
    </row>
    <row r="81" ht="12.75" customHeight="1">
      <c r="A81" s="469"/>
      <c r="B81" s="425"/>
      <c r="C81" s="51"/>
      <c r="D81" s="41"/>
    </row>
    <row r="82" ht="12.75" customHeight="1">
      <c r="A82" s="469"/>
      <c r="B82" s="425"/>
      <c r="C82" s="51"/>
      <c r="D82" s="41"/>
    </row>
    <row r="83" ht="12.75" customHeight="1">
      <c r="A83" s="469"/>
      <c r="B83" s="425"/>
      <c r="C83" s="51"/>
      <c r="D83" s="41"/>
    </row>
    <row r="84" ht="12.75" customHeight="1">
      <c r="A84" s="469"/>
      <c r="B84" s="425"/>
      <c r="C84" s="51"/>
      <c r="D84" s="41"/>
    </row>
    <row r="85" ht="12.75" customHeight="1">
      <c r="A85" s="469"/>
      <c r="B85" s="425"/>
      <c r="C85" s="51"/>
      <c r="D85" s="41"/>
    </row>
    <row r="86" ht="12.75" customHeight="1">
      <c r="A86" s="469"/>
      <c r="B86" s="425"/>
      <c r="C86" s="51"/>
      <c r="D86" s="41"/>
    </row>
    <row r="87" ht="12.75" customHeight="1">
      <c r="A87" s="469"/>
      <c r="B87" s="425"/>
      <c r="C87" s="51"/>
      <c r="D87" s="41"/>
    </row>
    <row r="88" ht="12.75" customHeight="1">
      <c r="A88" s="469"/>
      <c r="B88" s="425"/>
      <c r="C88" s="51"/>
      <c r="D88" s="41"/>
    </row>
    <row r="89" ht="12.75" customHeight="1">
      <c r="A89" s="469"/>
      <c r="B89" s="425"/>
      <c r="C89" s="51"/>
      <c r="D89" s="41"/>
    </row>
    <row r="90" ht="12.75" customHeight="1">
      <c r="A90" s="469"/>
      <c r="B90" s="425"/>
      <c r="C90" s="51"/>
      <c r="D90" s="41"/>
    </row>
    <row r="91" ht="12.75" customHeight="1">
      <c r="A91" s="469"/>
      <c r="B91" s="425"/>
      <c r="C91" s="51"/>
      <c r="D91" s="41"/>
    </row>
    <row r="92" ht="12.75" customHeight="1">
      <c r="A92" s="469"/>
      <c r="B92" s="425"/>
      <c r="C92" s="51"/>
      <c r="D92" s="41"/>
    </row>
    <row r="93" ht="12.75" customHeight="1">
      <c r="A93" s="469"/>
      <c r="B93" s="425"/>
      <c r="C93" s="51"/>
      <c r="D93" s="41"/>
    </row>
    <row r="94" ht="12.75" customHeight="1">
      <c r="A94" s="469"/>
      <c r="B94" s="425"/>
      <c r="C94" s="51"/>
      <c r="D94" s="41"/>
    </row>
    <row r="95" ht="12.75" customHeight="1">
      <c r="A95" s="469"/>
      <c r="B95" s="425"/>
      <c r="C95" s="51"/>
      <c r="D95" s="41"/>
    </row>
    <row r="96" ht="12.75" customHeight="1">
      <c r="A96" s="469"/>
      <c r="B96" s="425"/>
      <c r="C96" s="51"/>
      <c r="D96" s="41"/>
    </row>
    <row r="97" ht="12.75" customHeight="1">
      <c r="A97" s="469"/>
      <c r="B97" s="425"/>
      <c r="C97" s="51"/>
      <c r="D97" s="41"/>
    </row>
    <row r="98" ht="12.75" customHeight="1">
      <c r="A98" s="469"/>
      <c r="B98" s="425"/>
      <c r="C98" s="51"/>
      <c r="D98" s="41"/>
    </row>
    <row r="99" ht="12.75" customHeight="1">
      <c r="A99" s="469"/>
      <c r="B99" s="425"/>
      <c r="C99" s="51"/>
      <c r="D99" s="41"/>
    </row>
    <row r="100" ht="12.75" customHeight="1">
      <c r="A100" s="469"/>
      <c r="B100" s="425"/>
      <c r="C100" s="51"/>
      <c r="D100" s="41"/>
    </row>
    <row r="101" ht="12.75" customHeight="1">
      <c r="A101" s="469"/>
      <c r="B101" s="425"/>
      <c r="C101" s="51"/>
      <c r="D101" s="41"/>
    </row>
    <row r="102" ht="12.75" customHeight="1">
      <c r="A102" s="469"/>
      <c r="B102" s="425"/>
      <c r="C102" s="51"/>
      <c r="D102" s="41"/>
    </row>
    <row r="103" ht="12.75" customHeight="1">
      <c r="A103" s="469"/>
      <c r="B103" s="425"/>
      <c r="C103" s="51"/>
      <c r="D103" s="41"/>
    </row>
    <row r="104" ht="12.75" customHeight="1">
      <c r="A104" s="469"/>
      <c r="B104" s="425"/>
      <c r="C104" s="51"/>
      <c r="D104" s="41"/>
    </row>
    <row r="105" ht="12.75" customHeight="1">
      <c r="A105" s="469"/>
      <c r="B105" s="425"/>
      <c r="C105" s="51"/>
      <c r="D105" s="41"/>
    </row>
    <row r="106" ht="12.75" customHeight="1">
      <c r="A106" s="469"/>
      <c r="B106" s="425"/>
      <c r="C106" s="51"/>
      <c r="D106" s="41"/>
    </row>
    <row r="107" ht="12.75" customHeight="1">
      <c r="A107" s="469"/>
      <c r="B107" s="425"/>
      <c r="C107" s="51"/>
      <c r="D107" s="41"/>
    </row>
    <row r="108" ht="12.75" customHeight="1">
      <c r="A108" s="469"/>
      <c r="B108" s="425"/>
      <c r="C108" s="51"/>
      <c r="D108" s="41"/>
    </row>
    <row r="109" ht="12.75" customHeight="1">
      <c r="A109" s="469"/>
      <c r="B109" s="425"/>
      <c r="C109" s="51"/>
      <c r="D109" s="41"/>
    </row>
    <row r="110" ht="12.75" customHeight="1">
      <c r="A110" s="469"/>
      <c r="B110" s="425"/>
      <c r="C110" s="51"/>
      <c r="D110" s="41"/>
    </row>
    <row r="111" ht="12.75" customHeight="1">
      <c r="A111" s="469"/>
      <c r="B111" s="425"/>
      <c r="C111" s="51"/>
      <c r="D111" s="41"/>
    </row>
    <row r="112" ht="12.75" customHeight="1">
      <c r="A112" s="469"/>
      <c r="B112" s="425"/>
      <c r="C112" s="51"/>
      <c r="D112" s="41"/>
    </row>
    <row r="113" ht="12.75" customHeight="1">
      <c r="A113" s="469"/>
      <c r="B113" s="425"/>
      <c r="C113" s="51"/>
      <c r="D113" s="41"/>
    </row>
    <row r="114" ht="12.75" customHeight="1">
      <c r="A114" s="469"/>
      <c r="B114" s="425"/>
      <c r="C114" s="51"/>
      <c r="D114" s="41"/>
    </row>
    <row r="115" ht="12.75" customHeight="1">
      <c r="A115" s="469"/>
      <c r="B115" s="425"/>
      <c r="C115" s="51"/>
      <c r="D115" s="41"/>
    </row>
    <row r="116" ht="12.75" customHeight="1">
      <c r="A116" s="469"/>
      <c r="B116" s="425"/>
      <c r="C116" s="51"/>
      <c r="D116" s="41"/>
    </row>
    <row r="117" ht="12.75" customHeight="1">
      <c r="A117" s="469"/>
      <c r="B117" s="425"/>
      <c r="C117" s="51"/>
      <c r="D117" s="41"/>
    </row>
    <row r="118" ht="12.75" customHeight="1">
      <c r="A118" s="469"/>
      <c r="B118" s="425"/>
      <c r="C118" s="51"/>
      <c r="D118" s="41"/>
    </row>
    <row r="119" ht="12.75" customHeight="1">
      <c r="A119" s="469"/>
      <c r="B119" s="425"/>
      <c r="C119" s="51"/>
      <c r="D119" s="41"/>
    </row>
    <row r="120" ht="12.75" customHeight="1">
      <c r="A120" s="469"/>
      <c r="B120" s="425"/>
      <c r="C120" s="51"/>
      <c r="D120" s="41"/>
    </row>
    <row r="121" ht="12.75" customHeight="1">
      <c r="A121" s="469"/>
      <c r="B121" s="425"/>
      <c r="C121" s="51"/>
      <c r="D121" s="41"/>
    </row>
    <row r="122" ht="12.75" customHeight="1">
      <c r="A122" s="469"/>
      <c r="B122" s="425"/>
      <c r="C122" s="51"/>
      <c r="D122" s="41"/>
    </row>
    <row r="123" ht="12.75" customHeight="1">
      <c r="A123" s="469"/>
      <c r="B123" s="425"/>
      <c r="C123" s="51"/>
      <c r="D123" s="41"/>
    </row>
    <row r="124" ht="12.75" customHeight="1">
      <c r="A124" s="469"/>
      <c r="B124" s="425"/>
      <c r="C124" s="51"/>
      <c r="D124" s="41"/>
    </row>
    <row r="125" ht="12.75" customHeight="1">
      <c r="A125" s="469"/>
      <c r="B125" s="425"/>
      <c r="C125" s="51"/>
      <c r="D125" s="41"/>
    </row>
    <row r="126" ht="12.75" customHeight="1">
      <c r="A126" s="469"/>
      <c r="B126" s="425"/>
      <c r="C126" s="51"/>
      <c r="D126" s="41"/>
    </row>
    <row r="127" ht="12.75" customHeight="1">
      <c r="A127" s="469"/>
      <c r="B127" s="425"/>
      <c r="C127" s="51"/>
      <c r="D127" s="41"/>
    </row>
    <row r="128" ht="12.75" customHeight="1">
      <c r="A128" s="469"/>
      <c r="B128" s="425"/>
      <c r="C128" s="51"/>
      <c r="D128" s="41"/>
    </row>
    <row r="129" ht="12.75" customHeight="1">
      <c r="A129" s="469"/>
      <c r="B129" s="425"/>
      <c r="C129" s="51"/>
      <c r="D129" s="41"/>
    </row>
    <row r="130" ht="12.75" customHeight="1">
      <c r="A130" s="469"/>
      <c r="B130" s="425"/>
      <c r="C130" s="51"/>
      <c r="D130" s="41"/>
    </row>
    <row r="131" ht="12.75" customHeight="1">
      <c r="A131" s="469"/>
      <c r="B131" s="425"/>
      <c r="C131" s="51"/>
      <c r="D131" s="41"/>
    </row>
    <row r="132" ht="12.75" customHeight="1">
      <c r="A132" s="469"/>
      <c r="B132" s="425"/>
      <c r="C132" s="51"/>
      <c r="D132" s="41"/>
    </row>
    <row r="133" ht="12.75" customHeight="1">
      <c r="A133" s="469"/>
      <c r="B133" s="425"/>
      <c r="C133" s="51"/>
      <c r="D133" s="41"/>
    </row>
    <row r="134" ht="12.75" customHeight="1">
      <c r="A134" s="469"/>
      <c r="B134" s="425"/>
      <c r="C134" s="51"/>
      <c r="D134" s="41"/>
    </row>
    <row r="135" ht="12.75" customHeight="1">
      <c r="A135" s="469"/>
      <c r="B135" s="425"/>
      <c r="C135" s="51"/>
      <c r="D135" s="41"/>
    </row>
    <row r="136" ht="12.75" customHeight="1">
      <c r="A136" s="469"/>
      <c r="B136" s="425"/>
      <c r="C136" s="51"/>
      <c r="D136" s="41"/>
    </row>
    <row r="137" ht="12.75" customHeight="1">
      <c r="A137" s="469"/>
      <c r="B137" s="425"/>
      <c r="C137" s="51"/>
      <c r="D137" s="41"/>
    </row>
    <row r="138" ht="12.75" customHeight="1">
      <c r="A138" s="469"/>
      <c r="B138" s="425"/>
      <c r="C138" s="51"/>
      <c r="D138" s="41"/>
    </row>
    <row r="139" ht="12.75" customHeight="1">
      <c r="A139" s="469"/>
      <c r="B139" s="425"/>
      <c r="C139" s="51"/>
      <c r="D139" s="41"/>
    </row>
    <row r="140" ht="12.75" customHeight="1">
      <c r="A140" s="469"/>
      <c r="B140" s="425"/>
      <c r="C140" s="51"/>
      <c r="D140" s="41"/>
    </row>
    <row r="141" ht="12.75" customHeight="1">
      <c r="A141" s="469"/>
      <c r="B141" s="425"/>
      <c r="C141" s="51"/>
      <c r="D141" s="41"/>
    </row>
    <row r="142" ht="12.75" customHeight="1">
      <c r="A142" s="469"/>
      <c r="B142" s="425"/>
      <c r="C142" s="51"/>
      <c r="D142" s="41"/>
    </row>
    <row r="143" ht="12.75" customHeight="1">
      <c r="A143" s="469"/>
      <c r="B143" s="425"/>
      <c r="C143" s="51"/>
      <c r="D143" s="41"/>
    </row>
    <row r="144" ht="12.75" customHeight="1">
      <c r="A144" s="469"/>
      <c r="B144" s="425"/>
      <c r="C144" s="51"/>
      <c r="D144" s="41"/>
    </row>
    <row r="145" ht="12.75" customHeight="1">
      <c r="A145" s="469"/>
      <c r="B145" s="425"/>
      <c r="C145" s="51"/>
      <c r="D145" s="41"/>
    </row>
    <row r="146" ht="12.75" customHeight="1">
      <c r="A146" s="469"/>
      <c r="B146" s="425"/>
      <c r="C146" s="51"/>
      <c r="D146" s="41"/>
    </row>
    <row r="147" ht="12.75" customHeight="1">
      <c r="A147" s="469"/>
      <c r="B147" s="425"/>
      <c r="C147" s="51"/>
      <c r="D147" s="41"/>
    </row>
    <row r="148" ht="12.75" customHeight="1">
      <c r="A148" s="469"/>
      <c r="B148" s="425"/>
      <c r="C148" s="51"/>
      <c r="D148" s="41"/>
    </row>
    <row r="149" ht="12.75" customHeight="1">
      <c r="A149" s="469"/>
      <c r="B149" s="425"/>
      <c r="C149" s="51"/>
      <c r="D149" s="41"/>
    </row>
    <row r="150" ht="12.75" customHeight="1">
      <c r="A150" s="469"/>
      <c r="B150" s="425"/>
      <c r="C150" s="51"/>
      <c r="D150" s="41"/>
    </row>
    <row r="151" ht="12.75" customHeight="1">
      <c r="A151" s="469"/>
      <c r="B151" s="425"/>
      <c r="C151" s="51"/>
      <c r="D151" s="41"/>
    </row>
    <row r="152" ht="12.75" customHeight="1">
      <c r="A152" s="469"/>
      <c r="B152" s="425"/>
      <c r="C152" s="51"/>
      <c r="D152" s="41"/>
    </row>
    <row r="153" ht="12.75" customHeight="1">
      <c r="A153" s="469"/>
      <c r="B153" s="425"/>
      <c r="C153" s="51"/>
      <c r="D153" s="41"/>
    </row>
    <row r="154" ht="12.75" customHeight="1">
      <c r="A154" s="469"/>
      <c r="B154" s="425"/>
      <c r="C154" s="51"/>
      <c r="D154" s="41"/>
    </row>
    <row r="155" ht="12.75" customHeight="1">
      <c r="A155" s="469"/>
      <c r="B155" s="425"/>
      <c r="C155" s="51"/>
      <c r="D155" s="41"/>
    </row>
    <row r="156" ht="12.75" customHeight="1">
      <c r="A156" s="469"/>
      <c r="B156" s="425"/>
      <c r="C156" s="51"/>
      <c r="D156" s="41"/>
    </row>
    <row r="157" ht="12.75" customHeight="1">
      <c r="A157" s="469"/>
      <c r="B157" s="425"/>
      <c r="C157" s="51"/>
      <c r="D157" s="41"/>
    </row>
    <row r="158" ht="12.75" customHeight="1">
      <c r="A158" s="469"/>
      <c r="B158" s="425"/>
      <c r="C158" s="51"/>
      <c r="D158" s="41"/>
    </row>
    <row r="159" ht="12.75" customHeight="1">
      <c r="A159" s="469"/>
      <c r="B159" s="425"/>
      <c r="C159" s="51"/>
      <c r="D159" s="41"/>
    </row>
    <row r="160" ht="12.75" customHeight="1">
      <c r="A160" s="469"/>
      <c r="B160" s="425"/>
      <c r="C160" s="51"/>
      <c r="D160" s="41"/>
    </row>
    <row r="161" ht="12.75" customHeight="1">
      <c r="A161" s="469"/>
      <c r="B161" s="425"/>
      <c r="C161" s="51"/>
      <c r="D161" s="41"/>
    </row>
    <row r="162" ht="12.75" customHeight="1">
      <c r="A162" s="469"/>
      <c r="B162" s="425"/>
      <c r="C162" s="51"/>
      <c r="D162" s="41"/>
    </row>
    <row r="163" ht="12.75" customHeight="1">
      <c r="A163" s="469"/>
      <c r="B163" s="425"/>
      <c r="C163" s="51"/>
      <c r="D163" s="41"/>
    </row>
    <row r="164" ht="12.75" customHeight="1">
      <c r="A164" s="469"/>
      <c r="B164" s="425"/>
      <c r="C164" s="51"/>
      <c r="D164" s="41"/>
    </row>
    <row r="165" ht="12.75" customHeight="1">
      <c r="A165" s="469"/>
      <c r="B165" s="425"/>
      <c r="C165" s="51"/>
      <c r="D165" s="41"/>
    </row>
    <row r="166" ht="12.75" customHeight="1">
      <c r="A166" s="469"/>
      <c r="B166" s="425"/>
      <c r="C166" s="51"/>
      <c r="D166" s="41"/>
    </row>
    <row r="167" ht="12.75" customHeight="1">
      <c r="A167" s="469"/>
      <c r="B167" s="425"/>
      <c r="C167" s="51"/>
      <c r="D167" s="41"/>
    </row>
    <row r="168" ht="12.75" customHeight="1">
      <c r="A168" s="469"/>
      <c r="B168" s="425"/>
      <c r="C168" s="51"/>
      <c r="D168" s="41"/>
    </row>
    <row r="169" ht="12.75" customHeight="1">
      <c r="A169" s="469"/>
      <c r="B169" s="425"/>
      <c r="C169" s="51"/>
      <c r="D169" s="41"/>
    </row>
    <row r="170" ht="12.75" customHeight="1">
      <c r="A170" s="469"/>
      <c r="B170" s="425"/>
      <c r="C170" s="51"/>
      <c r="D170" s="41"/>
    </row>
    <row r="171" ht="12.75" customHeight="1">
      <c r="A171" s="469"/>
      <c r="B171" s="425"/>
      <c r="C171" s="51"/>
      <c r="D171" s="41"/>
    </row>
    <row r="172" ht="12.75" customHeight="1">
      <c r="A172" s="469"/>
      <c r="B172" s="425"/>
      <c r="C172" s="51"/>
      <c r="D172" s="41"/>
    </row>
    <row r="173" ht="12.75" customHeight="1">
      <c r="A173" s="469"/>
      <c r="B173" s="425"/>
      <c r="C173" s="51"/>
      <c r="D173" s="41"/>
    </row>
    <row r="174" ht="12.75" customHeight="1">
      <c r="A174" s="469"/>
      <c r="B174" s="425"/>
      <c r="C174" s="51"/>
      <c r="D174" s="41"/>
    </row>
    <row r="175" ht="12.75" customHeight="1">
      <c r="A175" s="469"/>
      <c r="B175" s="425"/>
      <c r="C175" s="51"/>
      <c r="D175" s="41"/>
    </row>
    <row r="176" ht="12.75" customHeight="1">
      <c r="A176" s="469"/>
      <c r="B176" s="425"/>
      <c r="C176" s="51"/>
      <c r="D176" s="41"/>
    </row>
    <row r="177" ht="12.75" customHeight="1">
      <c r="A177" s="469"/>
      <c r="B177" s="425"/>
      <c r="C177" s="51"/>
      <c r="D177" s="41"/>
    </row>
    <row r="178" ht="12.75" customHeight="1">
      <c r="A178" s="469"/>
      <c r="B178" s="425"/>
      <c r="C178" s="51"/>
      <c r="D178" s="41"/>
    </row>
    <row r="179" ht="12.75" customHeight="1">
      <c r="A179" s="469"/>
      <c r="B179" s="425"/>
      <c r="C179" s="51"/>
      <c r="D179" s="41"/>
    </row>
    <row r="180" ht="12.75" customHeight="1">
      <c r="A180" s="469"/>
      <c r="B180" s="425"/>
      <c r="C180" s="51"/>
      <c r="D180" s="41"/>
    </row>
    <row r="181" ht="12.75" customHeight="1">
      <c r="A181" s="469"/>
      <c r="B181" s="425"/>
      <c r="C181" s="51"/>
      <c r="D181" s="41"/>
    </row>
    <row r="182" ht="12.75" customHeight="1">
      <c r="A182" s="469"/>
      <c r="B182" s="425"/>
      <c r="C182" s="51"/>
      <c r="D182" s="41"/>
    </row>
    <row r="183" ht="12.75" customHeight="1">
      <c r="A183" s="469"/>
      <c r="B183" s="425"/>
      <c r="C183" s="51"/>
      <c r="D183" s="41"/>
    </row>
    <row r="184" ht="12.75" customHeight="1">
      <c r="A184" s="469"/>
      <c r="B184" s="425"/>
      <c r="C184" s="51"/>
      <c r="D184" s="41"/>
    </row>
    <row r="185" ht="12.75" customHeight="1">
      <c r="A185" s="469"/>
      <c r="B185" s="425"/>
      <c r="C185" s="51"/>
      <c r="D185" s="41"/>
    </row>
    <row r="186" ht="12.75" customHeight="1">
      <c r="A186" s="469"/>
      <c r="B186" s="425"/>
      <c r="C186" s="51"/>
      <c r="D186" s="41"/>
    </row>
    <row r="187" ht="12.75" customHeight="1">
      <c r="A187" s="469"/>
      <c r="B187" s="425"/>
      <c r="C187" s="51"/>
      <c r="D187" s="41"/>
    </row>
    <row r="188" ht="12.75" customHeight="1">
      <c r="A188" s="469"/>
      <c r="B188" s="425"/>
      <c r="C188" s="51"/>
      <c r="D188" s="41"/>
    </row>
    <row r="189" ht="12.75" customHeight="1">
      <c r="A189" s="469"/>
      <c r="B189" s="425"/>
      <c r="C189" s="51"/>
      <c r="D189" s="41"/>
    </row>
    <row r="190" ht="12.75" customHeight="1">
      <c r="A190" s="469"/>
      <c r="B190" s="425"/>
      <c r="C190" s="51"/>
      <c r="D190" s="41"/>
    </row>
    <row r="191" ht="12.75" customHeight="1">
      <c r="A191" s="469"/>
      <c r="B191" s="425"/>
      <c r="C191" s="51"/>
      <c r="D191" s="41"/>
    </row>
    <row r="192" ht="12.75" customHeight="1">
      <c r="A192" s="469"/>
      <c r="B192" s="425"/>
      <c r="C192" s="51"/>
      <c r="D192" s="41"/>
    </row>
    <row r="193" ht="12.75" customHeight="1">
      <c r="A193" s="469"/>
      <c r="B193" s="425"/>
      <c r="C193" s="51"/>
      <c r="D193" s="41"/>
    </row>
    <row r="194" ht="12.75" customHeight="1">
      <c r="A194" s="469"/>
      <c r="B194" s="425"/>
      <c r="C194" s="51"/>
      <c r="D194" s="41"/>
    </row>
    <row r="195" ht="12.75" customHeight="1">
      <c r="A195" s="469"/>
      <c r="B195" s="425"/>
      <c r="C195" s="51"/>
      <c r="D195" s="41"/>
    </row>
    <row r="196" ht="12.75" customHeight="1">
      <c r="A196" s="469"/>
      <c r="B196" s="425"/>
      <c r="C196" s="51"/>
      <c r="D196" s="41"/>
    </row>
    <row r="197" ht="12.75" customHeight="1">
      <c r="A197" s="469"/>
      <c r="B197" s="425"/>
      <c r="C197" s="51"/>
      <c r="D197" s="41"/>
    </row>
    <row r="198" ht="12.75" customHeight="1">
      <c r="A198" s="469"/>
      <c r="B198" s="425"/>
      <c r="C198" s="51"/>
      <c r="D198" s="41"/>
    </row>
    <row r="199" ht="12.75" customHeight="1">
      <c r="A199" s="469"/>
      <c r="B199" s="425"/>
      <c r="C199" s="51"/>
      <c r="D199" s="41"/>
    </row>
    <row r="200" ht="12.75" customHeight="1">
      <c r="A200" s="469"/>
      <c r="B200" s="425"/>
      <c r="C200" s="51"/>
      <c r="D200" s="41"/>
    </row>
    <row r="201" ht="12.75" customHeight="1">
      <c r="A201" s="469"/>
      <c r="B201" s="425"/>
      <c r="C201" s="51"/>
      <c r="D201" s="41"/>
    </row>
    <row r="202" ht="12.75" customHeight="1">
      <c r="A202" s="469"/>
      <c r="B202" s="425"/>
      <c r="C202" s="51"/>
      <c r="D202" s="41"/>
    </row>
    <row r="203" ht="12.75" customHeight="1">
      <c r="A203" s="469"/>
      <c r="B203" s="425"/>
      <c r="C203" s="51"/>
      <c r="D203" s="41"/>
    </row>
    <row r="204" ht="12.75" customHeight="1">
      <c r="A204" s="469"/>
      <c r="B204" s="425"/>
      <c r="C204" s="51"/>
      <c r="D204" s="41"/>
    </row>
    <row r="205" ht="12.75" customHeight="1">
      <c r="A205" s="469"/>
      <c r="B205" s="425"/>
      <c r="C205" s="51"/>
      <c r="D205" s="41"/>
    </row>
    <row r="206" ht="12.75" customHeight="1">
      <c r="A206" s="469"/>
      <c r="B206" s="425"/>
      <c r="C206" s="51"/>
      <c r="D206" s="41"/>
    </row>
    <row r="207" ht="12.75" customHeight="1">
      <c r="A207" s="469"/>
      <c r="B207" s="425"/>
      <c r="C207" s="51"/>
      <c r="D207" s="41"/>
    </row>
    <row r="208" ht="12.75" customHeight="1">
      <c r="A208" s="469"/>
      <c r="B208" s="425"/>
      <c r="C208" s="51"/>
      <c r="D208" s="41"/>
    </row>
    <row r="209" ht="12.75" customHeight="1">
      <c r="A209" s="469"/>
      <c r="B209" s="425"/>
      <c r="C209" s="51"/>
      <c r="D209" s="41"/>
    </row>
    <row r="210" ht="12.75" customHeight="1">
      <c r="A210" s="469"/>
      <c r="B210" s="425"/>
      <c r="C210" s="51"/>
      <c r="D210" s="41"/>
    </row>
    <row r="211" ht="12.75" customHeight="1">
      <c r="A211" s="469"/>
      <c r="B211" s="425"/>
      <c r="C211" s="51"/>
      <c r="D211" s="41"/>
    </row>
    <row r="212" ht="12.75" customHeight="1">
      <c r="A212" s="469"/>
      <c r="B212" s="425"/>
      <c r="C212" s="51"/>
      <c r="D212" s="41"/>
    </row>
    <row r="213" ht="12.75" customHeight="1">
      <c r="A213" s="469"/>
      <c r="B213" s="425"/>
      <c r="C213" s="51"/>
      <c r="D213" s="41"/>
    </row>
    <row r="214" ht="12.75" customHeight="1">
      <c r="A214" s="469"/>
      <c r="B214" s="425"/>
      <c r="C214" s="51"/>
      <c r="D214" s="41"/>
    </row>
    <row r="215" ht="12.75" customHeight="1">
      <c r="A215" s="469"/>
      <c r="B215" s="425"/>
      <c r="C215" s="51"/>
      <c r="D215" s="41"/>
    </row>
    <row r="216" ht="12.75" customHeight="1">
      <c r="A216" s="469"/>
      <c r="B216" s="425"/>
      <c r="C216" s="51"/>
      <c r="D216" s="41"/>
    </row>
    <row r="217" ht="12.75" customHeight="1">
      <c r="A217" s="469"/>
      <c r="B217" s="425"/>
      <c r="C217" s="51"/>
      <c r="D217" s="41"/>
    </row>
    <row r="218" ht="12.75" customHeight="1">
      <c r="A218" s="469"/>
      <c r="B218" s="425"/>
      <c r="C218" s="51"/>
      <c r="D218" s="41"/>
    </row>
    <row r="219" ht="12.75" customHeight="1">
      <c r="A219" s="469"/>
      <c r="B219" s="425"/>
      <c r="C219" s="51"/>
      <c r="D219" s="41"/>
    </row>
    <row r="220" ht="12.75" customHeight="1">
      <c r="A220" s="469"/>
      <c r="B220" s="425"/>
      <c r="C220" s="51"/>
      <c r="D220" s="41"/>
    </row>
    <row r="221" ht="12.75" customHeight="1">
      <c r="A221" s="469"/>
      <c r="B221" s="425"/>
      <c r="C221" s="51"/>
      <c r="D221" s="41"/>
    </row>
    <row r="222" ht="12.75" customHeight="1">
      <c r="A222" s="469"/>
      <c r="B222" s="425"/>
      <c r="C222" s="51"/>
      <c r="D222" s="41"/>
    </row>
    <row r="223" ht="12.75" customHeight="1">
      <c r="A223" s="469"/>
      <c r="B223" s="425"/>
      <c r="C223" s="51"/>
      <c r="D223" s="41"/>
    </row>
    <row r="224" ht="12.75" customHeight="1">
      <c r="A224" s="469"/>
      <c r="B224" s="425"/>
      <c r="C224" s="51"/>
      <c r="D224" s="41"/>
    </row>
    <row r="225" ht="12.75" customHeight="1">
      <c r="A225" s="469"/>
      <c r="B225" s="425"/>
      <c r="C225" s="51"/>
      <c r="D225" s="41"/>
    </row>
    <row r="226" ht="12.75" customHeight="1">
      <c r="A226" s="469"/>
      <c r="B226" s="425"/>
      <c r="C226" s="51"/>
      <c r="D226" s="41"/>
    </row>
    <row r="227" ht="12.75" customHeight="1">
      <c r="A227" s="469"/>
      <c r="B227" s="425"/>
      <c r="C227" s="51"/>
      <c r="D227" s="41"/>
    </row>
    <row r="228" ht="12.75" customHeight="1">
      <c r="A228" s="469"/>
      <c r="B228" s="425"/>
      <c r="C228" s="51"/>
      <c r="D228" s="41"/>
    </row>
    <row r="229" ht="12.75" customHeight="1">
      <c r="A229" s="469"/>
      <c r="B229" s="425"/>
      <c r="C229" s="51"/>
      <c r="D229" s="41"/>
    </row>
    <row r="230" ht="12.75" customHeight="1">
      <c r="A230" s="469"/>
      <c r="B230" s="425"/>
      <c r="C230" s="51"/>
      <c r="D230" s="41"/>
    </row>
    <row r="231" ht="12.75" customHeight="1">
      <c r="A231" s="469"/>
      <c r="B231" s="425"/>
      <c r="C231" s="51"/>
      <c r="D231" s="41"/>
    </row>
    <row r="232" ht="12.75" customHeight="1">
      <c r="A232" s="469"/>
      <c r="B232" s="425"/>
      <c r="C232" s="51"/>
      <c r="D232" s="41"/>
    </row>
    <row r="233" ht="12.75" customHeight="1">
      <c r="A233" s="469"/>
      <c r="B233" s="425"/>
      <c r="C233" s="51"/>
      <c r="D233" s="41"/>
    </row>
    <row r="234" ht="12.75" customHeight="1">
      <c r="A234" s="469"/>
      <c r="B234" s="425"/>
      <c r="C234" s="51"/>
      <c r="D234" s="41"/>
    </row>
    <row r="235" ht="12.75" customHeight="1">
      <c r="A235" s="469"/>
      <c r="B235" s="425"/>
      <c r="C235" s="51"/>
      <c r="D235" s="41"/>
    </row>
    <row r="236" ht="12.75" customHeight="1">
      <c r="A236" s="469"/>
      <c r="B236" s="425"/>
      <c r="C236" s="51"/>
      <c r="D236" s="41"/>
    </row>
    <row r="237" ht="12.75" customHeight="1">
      <c r="A237" s="469"/>
      <c r="B237" s="425"/>
      <c r="C237" s="51"/>
      <c r="D237" s="41"/>
    </row>
    <row r="238" ht="12.75" customHeight="1">
      <c r="A238" s="469"/>
      <c r="B238" s="425"/>
      <c r="C238" s="51"/>
      <c r="D238" s="41"/>
    </row>
    <row r="239" ht="12.75" customHeight="1">
      <c r="A239" s="469"/>
      <c r="B239" s="425"/>
      <c r="C239" s="51"/>
      <c r="D239" s="41"/>
    </row>
    <row r="240" ht="12.75" customHeight="1">
      <c r="A240" s="469"/>
      <c r="B240" s="425"/>
      <c r="C240" s="51"/>
      <c r="D240" s="41"/>
    </row>
    <row r="241" ht="12.75" customHeight="1">
      <c r="A241" s="469"/>
      <c r="B241" s="425"/>
      <c r="C241" s="51"/>
      <c r="D241" s="41"/>
    </row>
    <row r="242" ht="12.75" customHeight="1">
      <c r="A242" s="469"/>
      <c r="B242" s="425"/>
      <c r="C242" s="51"/>
      <c r="D242" s="41"/>
    </row>
    <row r="243" ht="12.75" customHeight="1">
      <c r="A243" s="469"/>
      <c r="B243" s="425"/>
      <c r="C243" s="51"/>
      <c r="D243" s="41"/>
    </row>
    <row r="244" ht="12.75" customHeight="1">
      <c r="A244" s="469"/>
      <c r="B244" s="425"/>
      <c r="C244" s="51"/>
      <c r="D244" s="41"/>
    </row>
    <row r="245" ht="12.75" customHeight="1">
      <c r="A245" s="469"/>
      <c r="B245" s="425"/>
      <c r="C245" s="51"/>
      <c r="D245" s="41"/>
    </row>
    <row r="246" ht="12.75" customHeight="1">
      <c r="A246" s="469"/>
      <c r="B246" s="425"/>
      <c r="C246" s="51"/>
      <c r="D246" s="41"/>
    </row>
    <row r="247" ht="12.75" customHeight="1">
      <c r="A247" s="469"/>
      <c r="B247" s="425"/>
      <c r="C247" s="51"/>
      <c r="D247" s="41"/>
    </row>
    <row r="248" ht="12.75" customHeight="1">
      <c r="A248" s="469"/>
      <c r="B248" s="425"/>
      <c r="C248" s="51"/>
      <c r="D248" s="41"/>
    </row>
    <row r="249" ht="12.75" customHeight="1">
      <c r="A249" s="469"/>
      <c r="B249" s="425"/>
      <c r="C249" s="51"/>
      <c r="D249" s="41"/>
    </row>
    <row r="250" ht="12.75" customHeight="1">
      <c r="A250" s="469"/>
      <c r="B250" s="425"/>
      <c r="C250" s="51"/>
      <c r="D250" s="41"/>
    </row>
    <row r="251" ht="12.75" customHeight="1">
      <c r="A251" s="469"/>
      <c r="B251" s="425"/>
      <c r="C251" s="51"/>
      <c r="D251" s="41"/>
    </row>
    <row r="252" ht="12.75" customHeight="1">
      <c r="A252" s="469"/>
      <c r="B252" s="425"/>
      <c r="C252" s="51"/>
      <c r="D252" s="41"/>
    </row>
    <row r="253" ht="12.75" customHeight="1">
      <c r="A253" s="469"/>
      <c r="B253" s="425"/>
      <c r="C253" s="51"/>
      <c r="D253" s="41"/>
    </row>
    <row r="254" ht="12.75" customHeight="1">
      <c r="A254" s="469"/>
      <c r="B254" s="425"/>
      <c r="C254" s="51"/>
      <c r="D254" s="41"/>
    </row>
    <row r="255" ht="12.75" customHeight="1">
      <c r="A255" s="469"/>
      <c r="B255" s="425"/>
      <c r="C255" s="51"/>
      <c r="D255" s="41"/>
    </row>
    <row r="256" ht="12.75" customHeight="1">
      <c r="A256" s="469"/>
      <c r="B256" s="425"/>
      <c r="C256" s="51"/>
      <c r="D256" s="41"/>
    </row>
    <row r="257" ht="12.75" customHeight="1">
      <c r="A257" s="469"/>
      <c r="B257" s="425"/>
      <c r="C257" s="51"/>
      <c r="D257" s="41"/>
    </row>
    <row r="258" ht="12.75" customHeight="1">
      <c r="A258" s="469"/>
      <c r="B258" s="425"/>
      <c r="C258" s="51"/>
      <c r="D258" s="41"/>
    </row>
    <row r="259" ht="12.75" customHeight="1">
      <c r="A259" s="469"/>
      <c r="B259" s="425"/>
      <c r="C259" s="51"/>
      <c r="D259" s="41"/>
    </row>
    <row r="260" ht="12.75" customHeight="1">
      <c r="A260" s="469"/>
      <c r="B260" s="425"/>
      <c r="C260" s="51"/>
      <c r="D260" s="41"/>
    </row>
    <row r="261" ht="12.75" customHeight="1">
      <c r="A261" s="469"/>
      <c r="B261" s="425"/>
      <c r="C261" s="51"/>
      <c r="D261" s="41"/>
    </row>
    <row r="262" ht="12.75" customHeight="1">
      <c r="A262" s="469"/>
      <c r="B262" s="425"/>
      <c r="C262" s="51"/>
      <c r="D262" s="41"/>
    </row>
    <row r="263" ht="12.75" customHeight="1">
      <c r="A263" s="469"/>
      <c r="B263" s="425"/>
      <c r="C263" s="51"/>
      <c r="D263" s="41"/>
    </row>
    <row r="264" ht="12.75" customHeight="1">
      <c r="A264" s="469"/>
      <c r="B264" s="425"/>
      <c r="C264" s="51"/>
      <c r="D264" s="41"/>
    </row>
    <row r="265" ht="12.75" customHeight="1">
      <c r="A265" s="469"/>
      <c r="B265" s="425"/>
      <c r="C265" s="51"/>
      <c r="D265" s="41"/>
    </row>
    <row r="266" ht="12.75" customHeight="1">
      <c r="A266" s="469"/>
      <c r="B266" s="425"/>
      <c r="C266" s="51"/>
      <c r="D266" s="41"/>
    </row>
    <row r="267" ht="12.75" customHeight="1">
      <c r="A267" s="469"/>
      <c r="B267" s="425"/>
      <c r="C267" s="51"/>
      <c r="D267" s="41"/>
    </row>
    <row r="268" ht="12.75" customHeight="1">
      <c r="A268" s="469"/>
      <c r="B268" s="425"/>
      <c r="C268" s="51"/>
      <c r="D268" s="41"/>
    </row>
    <row r="269" ht="12.75" customHeight="1">
      <c r="A269" s="469"/>
      <c r="B269" s="425"/>
      <c r="C269" s="51"/>
      <c r="D269" s="41"/>
    </row>
    <row r="270" ht="12.75" customHeight="1">
      <c r="A270" s="469"/>
      <c r="B270" s="425"/>
      <c r="C270" s="51"/>
      <c r="D270" s="41"/>
    </row>
    <row r="271" ht="12.75" customHeight="1">
      <c r="A271" s="469"/>
      <c r="B271" s="425"/>
      <c r="C271" s="51"/>
      <c r="D271" s="41"/>
    </row>
    <row r="272" ht="12.75" customHeight="1">
      <c r="A272" s="469"/>
      <c r="B272" s="425"/>
      <c r="C272" s="51"/>
      <c r="D272" s="41"/>
    </row>
    <row r="273" ht="12.75" customHeight="1">
      <c r="A273" s="469"/>
      <c r="B273" s="425"/>
      <c r="C273" s="51"/>
      <c r="D273" s="41"/>
    </row>
    <row r="274" ht="12.75" customHeight="1">
      <c r="A274" s="469"/>
      <c r="B274" s="425"/>
      <c r="C274" s="51"/>
      <c r="D274" s="41"/>
    </row>
    <row r="275" ht="12.75" customHeight="1">
      <c r="A275" s="469"/>
      <c r="B275" s="425"/>
      <c r="C275" s="51"/>
      <c r="D275" s="41"/>
    </row>
    <row r="276" ht="12.75" customHeight="1">
      <c r="A276" s="469"/>
      <c r="B276" s="425"/>
      <c r="C276" s="51"/>
      <c r="D276" s="41"/>
    </row>
    <row r="277" ht="12.75" customHeight="1">
      <c r="A277" s="469"/>
      <c r="B277" s="425"/>
      <c r="C277" s="51"/>
      <c r="D277" s="41"/>
    </row>
    <row r="278" ht="12.75" customHeight="1">
      <c r="A278" s="469"/>
      <c r="B278" s="425"/>
      <c r="C278" s="51"/>
      <c r="D278" s="41"/>
    </row>
    <row r="279" ht="12.75" customHeight="1">
      <c r="A279" s="469"/>
      <c r="B279" s="425"/>
      <c r="C279" s="51"/>
      <c r="D279" s="41"/>
    </row>
    <row r="280" ht="12.75" customHeight="1">
      <c r="A280" s="469"/>
      <c r="B280" s="425"/>
      <c r="C280" s="51"/>
      <c r="D280" s="41"/>
    </row>
    <row r="281" ht="12.75" customHeight="1">
      <c r="A281" s="469"/>
      <c r="B281" s="425"/>
      <c r="C281" s="51"/>
      <c r="D281" s="41"/>
    </row>
    <row r="282" ht="12.75" customHeight="1">
      <c r="A282" s="469"/>
      <c r="B282" s="425"/>
      <c r="C282" s="51"/>
      <c r="D282" s="41"/>
    </row>
    <row r="283" ht="12.75" customHeight="1">
      <c r="A283" s="469"/>
      <c r="B283" s="425"/>
      <c r="C283" s="51"/>
      <c r="D283" s="41"/>
    </row>
    <row r="284" ht="12.75" customHeight="1">
      <c r="A284" s="469"/>
      <c r="B284" s="425"/>
      <c r="C284" s="51"/>
      <c r="D284" s="41"/>
    </row>
    <row r="285" ht="12.75" customHeight="1">
      <c r="A285" s="469"/>
      <c r="B285" s="425"/>
      <c r="C285" s="51"/>
      <c r="D285" s="41"/>
    </row>
    <row r="286" ht="12.75" customHeight="1">
      <c r="A286" s="469"/>
      <c r="B286" s="425"/>
      <c r="C286" s="51"/>
      <c r="D286" s="41"/>
    </row>
    <row r="287" ht="12.75" customHeight="1">
      <c r="A287" s="469"/>
      <c r="B287" s="425"/>
      <c r="C287" s="51"/>
      <c r="D287" s="41"/>
    </row>
    <row r="288" ht="12.75" customHeight="1">
      <c r="A288" s="469"/>
      <c r="B288" s="425"/>
      <c r="C288" s="51"/>
      <c r="D288" s="41"/>
    </row>
    <row r="289" ht="12.75" customHeight="1">
      <c r="A289" s="469"/>
      <c r="B289" s="425"/>
      <c r="C289" s="51"/>
      <c r="D289" s="41"/>
    </row>
    <row r="290" ht="12.75" customHeight="1">
      <c r="A290" s="469"/>
      <c r="B290" s="425"/>
      <c r="C290" s="51"/>
      <c r="D290" s="41"/>
    </row>
    <row r="291" ht="12.75" customHeight="1">
      <c r="A291" s="469"/>
      <c r="B291" s="425"/>
      <c r="C291" s="51"/>
      <c r="D291" s="41"/>
    </row>
    <row r="292" ht="12.75" customHeight="1">
      <c r="A292" s="469"/>
      <c r="B292" s="425"/>
      <c r="C292" s="51"/>
      <c r="D292" s="41"/>
    </row>
    <row r="293" ht="12.75" customHeight="1">
      <c r="A293" s="469"/>
      <c r="B293" s="425"/>
      <c r="C293" s="51"/>
      <c r="D293" s="41"/>
    </row>
    <row r="294" ht="12.75" customHeight="1">
      <c r="A294" s="469"/>
      <c r="B294" s="425"/>
      <c r="C294" s="51"/>
      <c r="D294" s="41"/>
    </row>
    <row r="295" ht="12.75" customHeight="1">
      <c r="A295" s="469"/>
      <c r="B295" s="425"/>
      <c r="C295" s="51"/>
      <c r="D295" s="41"/>
    </row>
    <row r="296" ht="12.75" customHeight="1">
      <c r="A296" s="469"/>
      <c r="B296" s="425"/>
      <c r="C296" s="51"/>
      <c r="D296" s="41"/>
    </row>
    <row r="297" ht="12.75" customHeight="1">
      <c r="A297" s="469"/>
      <c r="B297" s="425"/>
      <c r="C297" s="51"/>
      <c r="D297" s="41"/>
    </row>
    <row r="298" ht="12.75" customHeight="1">
      <c r="A298" s="469"/>
      <c r="B298" s="425"/>
      <c r="C298" s="51"/>
      <c r="D298" s="41"/>
    </row>
    <row r="299" ht="12.75" customHeight="1">
      <c r="A299" s="469"/>
      <c r="B299" s="425"/>
      <c r="C299" s="51"/>
      <c r="D299" s="41"/>
    </row>
    <row r="300" ht="12.75" customHeight="1">
      <c r="A300" s="469"/>
      <c r="B300" s="425"/>
      <c r="C300" s="51"/>
      <c r="D300" s="41"/>
    </row>
    <row r="301" ht="12.75" customHeight="1">
      <c r="A301" s="469"/>
      <c r="B301" s="425"/>
      <c r="C301" s="51"/>
      <c r="D301" s="41"/>
    </row>
    <row r="302" ht="12.75" customHeight="1">
      <c r="A302" s="469"/>
      <c r="B302" s="425"/>
      <c r="C302" s="51"/>
      <c r="D302" s="41"/>
    </row>
    <row r="303" ht="12.75" customHeight="1">
      <c r="A303" s="469"/>
      <c r="B303" s="425"/>
      <c r="C303" s="51"/>
      <c r="D303" s="41"/>
    </row>
    <row r="304" ht="12.75" customHeight="1">
      <c r="A304" s="469"/>
      <c r="B304" s="425"/>
      <c r="C304" s="51"/>
      <c r="D304" s="41"/>
    </row>
    <row r="305" ht="12.75" customHeight="1">
      <c r="A305" s="469"/>
      <c r="B305" s="425"/>
      <c r="C305" s="51"/>
      <c r="D305" s="41"/>
    </row>
    <row r="306" ht="12.75" customHeight="1">
      <c r="A306" s="469"/>
      <c r="B306" s="425"/>
      <c r="C306" s="51"/>
      <c r="D306" s="41"/>
    </row>
    <row r="307" ht="12.75" customHeight="1">
      <c r="A307" s="469"/>
      <c r="B307" s="425"/>
      <c r="C307" s="51"/>
      <c r="D307" s="41"/>
    </row>
    <row r="308" ht="12.75" customHeight="1">
      <c r="A308" s="469"/>
      <c r="B308" s="425"/>
      <c r="C308" s="51"/>
      <c r="D308" s="41"/>
    </row>
    <row r="309" ht="12.75" customHeight="1">
      <c r="A309" s="469"/>
      <c r="B309" s="425"/>
      <c r="C309" s="51"/>
      <c r="D309" s="41"/>
    </row>
    <row r="310" ht="12.75" customHeight="1">
      <c r="A310" s="469"/>
      <c r="B310" s="425"/>
      <c r="C310" s="51"/>
      <c r="D310" s="41"/>
    </row>
    <row r="311" ht="12.75" customHeight="1">
      <c r="A311" s="469"/>
      <c r="B311" s="425"/>
      <c r="C311" s="51"/>
      <c r="D311" s="41"/>
    </row>
    <row r="312" ht="12.75" customHeight="1">
      <c r="A312" s="469"/>
      <c r="B312" s="425"/>
      <c r="C312" s="51"/>
      <c r="D312" s="41"/>
    </row>
    <row r="313" ht="12.75" customHeight="1">
      <c r="A313" s="469"/>
      <c r="B313" s="425"/>
      <c r="C313" s="51"/>
      <c r="D313" s="41"/>
    </row>
    <row r="314" ht="12.75" customHeight="1">
      <c r="A314" s="469"/>
      <c r="B314" s="425"/>
      <c r="C314" s="51"/>
      <c r="D314" s="41"/>
    </row>
    <row r="315" ht="12.75" customHeight="1">
      <c r="A315" s="469"/>
      <c r="B315" s="425"/>
      <c r="C315" s="51"/>
      <c r="D315" s="41"/>
    </row>
    <row r="316" ht="12.75" customHeight="1">
      <c r="A316" s="469"/>
      <c r="B316" s="425"/>
      <c r="C316" s="51"/>
      <c r="D316" s="41"/>
    </row>
    <row r="317" ht="12.75" customHeight="1">
      <c r="A317" s="469"/>
      <c r="B317" s="425"/>
      <c r="C317" s="51"/>
      <c r="D317" s="41"/>
    </row>
    <row r="318" ht="12.75" customHeight="1">
      <c r="A318" s="469"/>
      <c r="B318" s="425"/>
      <c r="C318" s="51"/>
      <c r="D318" s="41"/>
    </row>
    <row r="319" ht="12.75" customHeight="1">
      <c r="A319" s="469"/>
      <c r="B319" s="425"/>
      <c r="C319" s="51"/>
      <c r="D319" s="41"/>
    </row>
    <row r="320" ht="12.75" customHeight="1">
      <c r="A320" s="469"/>
      <c r="B320" s="425"/>
      <c r="C320" s="51"/>
      <c r="D320" s="41"/>
    </row>
    <row r="321" ht="12.75" customHeight="1">
      <c r="A321" s="469"/>
      <c r="B321" s="425"/>
      <c r="C321" s="51"/>
      <c r="D321" s="41"/>
    </row>
    <row r="322" ht="12.75" customHeight="1">
      <c r="A322" s="469"/>
      <c r="B322" s="425"/>
      <c r="C322" s="51"/>
      <c r="D322" s="41"/>
    </row>
    <row r="323" ht="12.75" customHeight="1">
      <c r="A323" s="469"/>
      <c r="B323" s="425"/>
      <c r="C323" s="51"/>
      <c r="D323" s="41"/>
    </row>
    <row r="324" ht="12.75" customHeight="1">
      <c r="A324" s="469"/>
      <c r="B324" s="425"/>
      <c r="C324" s="51"/>
      <c r="D324" s="41"/>
    </row>
    <row r="325" ht="12.75" customHeight="1">
      <c r="A325" s="469"/>
      <c r="B325" s="425"/>
      <c r="C325" s="51"/>
      <c r="D325" s="41"/>
    </row>
    <row r="326" ht="12.75" customHeight="1">
      <c r="A326" s="469"/>
      <c r="B326" s="425"/>
      <c r="C326" s="51"/>
      <c r="D326" s="41"/>
    </row>
    <row r="327" ht="12.75" customHeight="1">
      <c r="A327" s="469"/>
      <c r="B327" s="425"/>
      <c r="C327" s="51"/>
      <c r="D327" s="41"/>
    </row>
    <row r="328" ht="12.75" customHeight="1">
      <c r="A328" s="469"/>
      <c r="B328" s="425"/>
      <c r="C328" s="51"/>
      <c r="D328" s="41"/>
    </row>
    <row r="329" ht="12.75" customHeight="1">
      <c r="A329" s="469"/>
      <c r="B329" s="425"/>
      <c r="C329" s="51"/>
      <c r="D329" s="41"/>
    </row>
    <row r="330" ht="12.75" customHeight="1">
      <c r="A330" s="469"/>
      <c r="B330" s="425"/>
      <c r="C330" s="51"/>
      <c r="D330" s="41"/>
    </row>
    <row r="331" ht="12.75" customHeight="1">
      <c r="A331" s="469"/>
      <c r="B331" s="425"/>
      <c r="C331" s="51"/>
      <c r="D331" s="41"/>
    </row>
    <row r="332" ht="12.75" customHeight="1">
      <c r="A332" s="469"/>
      <c r="B332" s="425"/>
      <c r="C332" s="51"/>
      <c r="D332" s="41"/>
    </row>
    <row r="333" ht="12.75" customHeight="1">
      <c r="A333" s="469"/>
      <c r="B333" s="425"/>
      <c r="C333" s="51"/>
      <c r="D333" s="41"/>
    </row>
    <row r="334" ht="12.75" customHeight="1">
      <c r="A334" s="469"/>
      <c r="B334" s="425"/>
      <c r="C334" s="51"/>
      <c r="D334" s="41"/>
    </row>
    <row r="335" ht="12.75" customHeight="1">
      <c r="A335" s="469"/>
      <c r="B335" s="425"/>
      <c r="C335" s="51"/>
      <c r="D335" s="41"/>
    </row>
    <row r="336" ht="12.75" customHeight="1">
      <c r="A336" s="469"/>
      <c r="B336" s="425"/>
      <c r="C336" s="51"/>
      <c r="D336" s="41"/>
    </row>
    <row r="337" ht="12.75" customHeight="1">
      <c r="A337" s="469"/>
      <c r="B337" s="425"/>
      <c r="C337" s="51"/>
      <c r="D337" s="41"/>
    </row>
    <row r="338" ht="12.75" customHeight="1">
      <c r="A338" s="469"/>
      <c r="B338" s="425"/>
      <c r="C338" s="51"/>
      <c r="D338" s="41"/>
    </row>
    <row r="339" ht="12.75" customHeight="1">
      <c r="A339" s="469"/>
      <c r="B339" s="425"/>
      <c r="C339" s="51"/>
      <c r="D339" s="41"/>
    </row>
    <row r="340" ht="12.75" customHeight="1">
      <c r="A340" s="469"/>
      <c r="B340" s="425"/>
      <c r="C340" s="51"/>
      <c r="D340" s="41"/>
    </row>
    <row r="341" ht="12.75" customHeight="1">
      <c r="A341" s="469"/>
      <c r="B341" s="425"/>
      <c r="C341" s="51"/>
      <c r="D341" s="41"/>
    </row>
    <row r="342" ht="12.75" customHeight="1">
      <c r="A342" s="469"/>
      <c r="B342" s="425"/>
      <c r="C342" s="51"/>
      <c r="D342" s="41"/>
    </row>
    <row r="343" ht="12.75" customHeight="1">
      <c r="A343" s="469"/>
      <c r="B343" s="425"/>
      <c r="C343" s="51"/>
      <c r="D343" s="41"/>
    </row>
    <row r="344" ht="12.75" customHeight="1">
      <c r="A344" s="469"/>
      <c r="B344" s="425"/>
      <c r="C344" s="51"/>
      <c r="D344" s="41"/>
    </row>
    <row r="345" ht="12.75" customHeight="1">
      <c r="A345" s="469"/>
      <c r="B345" s="425"/>
      <c r="C345" s="51"/>
      <c r="D345" s="41"/>
    </row>
    <row r="346" ht="12.75" customHeight="1">
      <c r="A346" s="469"/>
      <c r="B346" s="425"/>
      <c r="C346" s="51"/>
      <c r="D346" s="41"/>
    </row>
    <row r="347" ht="12.75" customHeight="1">
      <c r="A347" s="469"/>
      <c r="B347" s="425"/>
      <c r="C347" s="51"/>
      <c r="D347" s="41"/>
    </row>
    <row r="348" ht="12.75" customHeight="1">
      <c r="A348" s="469"/>
      <c r="B348" s="425"/>
      <c r="C348" s="51"/>
      <c r="D348" s="41"/>
    </row>
    <row r="349" ht="12.75" customHeight="1">
      <c r="A349" s="469"/>
      <c r="B349" s="425"/>
      <c r="C349" s="51"/>
      <c r="D349" s="41"/>
    </row>
    <row r="350" ht="12.75" customHeight="1">
      <c r="A350" s="469"/>
      <c r="B350" s="425"/>
      <c r="C350" s="51"/>
      <c r="D350" s="41"/>
    </row>
    <row r="351" ht="12.75" customHeight="1">
      <c r="A351" s="469"/>
      <c r="B351" s="425"/>
      <c r="C351" s="51"/>
      <c r="D351" s="41"/>
    </row>
    <row r="352" ht="12.75" customHeight="1">
      <c r="A352" s="469"/>
      <c r="B352" s="425"/>
      <c r="C352" s="51"/>
      <c r="D352" s="41"/>
    </row>
    <row r="353" ht="12.75" customHeight="1">
      <c r="A353" s="469"/>
      <c r="B353" s="425"/>
      <c r="C353" s="51"/>
      <c r="D353" s="41"/>
    </row>
    <row r="354" ht="12.75" customHeight="1">
      <c r="A354" s="469"/>
      <c r="B354" s="425"/>
      <c r="C354" s="51"/>
      <c r="D354" s="41"/>
    </row>
    <row r="355" ht="12.75" customHeight="1">
      <c r="A355" s="469"/>
      <c r="B355" s="425"/>
      <c r="C355" s="51"/>
      <c r="D355" s="41"/>
    </row>
    <row r="356" ht="12.75" customHeight="1">
      <c r="A356" s="469"/>
      <c r="B356" s="425"/>
      <c r="C356" s="51"/>
      <c r="D356" s="41"/>
    </row>
    <row r="357" ht="12.75" customHeight="1">
      <c r="A357" s="469"/>
      <c r="B357" s="425"/>
      <c r="C357" s="51"/>
      <c r="D357" s="41"/>
    </row>
    <row r="358" ht="12.75" customHeight="1">
      <c r="A358" s="469"/>
      <c r="B358" s="425"/>
      <c r="C358" s="51"/>
      <c r="D358" s="41"/>
    </row>
    <row r="359" ht="12.75" customHeight="1">
      <c r="A359" s="469"/>
      <c r="B359" s="425"/>
      <c r="C359" s="51"/>
      <c r="D359" s="41"/>
    </row>
    <row r="360" ht="12.75" customHeight="1">
      <c r="A360" s="469"/>
      <c r="B360" s="425"/>
      <c r="C360" s="51"/>
      <c r="D360" s="41"/>
    </row>
    <row r="361" ht="12.75" customHeight="1">
      <c r="A361" s="469"/>
      <c r="B361" s="425"/>
      <c r="C361" s="51"/>
      <c r="D361" s="41"/>
    </row>
    <row r="362" ht="12.75" customHeight="1">
      <c r="A362" s="469"/>
      <c r="B362" s="425"/>
      <c r="C362" s="51"/>
      <c r="D362" s="41"/>
    </row>
    <row r="363" ht="12.75" customHeight="1">
      <c r="A363" s="469"/>
      <c r="B363" s="425"/>
      <c r="C363" s="51"/>
      <c r="D363" s="41"/>
    </row>
    <row r="364" ht="12.75" customHeight="1">
      <c r="A364" s="469"/>
      <c r="B364" s="425"/>
      <c r="C364" s="51"/>
      <c r="D364" s="41"/>
    </row>
    <row r="365" ht="12.75" customHeight="1">
      <c r="A365" s="469"/>
      <c r="B365" s="425"/>
      <c r="C365" s="51"/>
      <c r="D365" s="41"/>
    </row>
    <row r="366" ht="12.75" customHeight="1">
      <c r="A366" s="469"/>
      <c r="B366" s="425"/>
      <c r="C366" s="51"/>
      <c r="D366" s="41"/>
    </row>
    <row r="367" ht="12.75" customHeight="1">
      <c r="A367" s="469"/>
      <c r="B367" s="425"/>
      <c r="C367" s="51"/>
      <c r="D367" s="41"/>
    </row>
    <row r="368" ht="12.75" customHeight="1">
      <c r="A368" s="469"/>
      <c r="B368" s="425"/>
      <c r="C368" s="51"/>
      <c r="D368" s="41"/>
    </row>
    <row r="369" ht="12.75" customHeight="1">
      <c r="A369" s="469"/>
      <c r="B369" s="425"/>
      <c r="C369" s="51"/>
      <c r="D369" s="41"/>
    </row>
    <row r="370" ht="12.75" customHeight="1">
      <c r="A370" s="469"/>
      <c r="B370" s="425"/>
      <c r="C370" s="51"/>
      <c r="D370" s="41"/>
    </row>
    <row r="371" ht="12.75" customHeight="1">
      <c r="A371" s="469"/>
      <c r="B371" s="425"/>
      <c r="C371" s="51"/>
      <c r="D371" s="41"/>
    </row>
    <row r="372" ht="12.75" customHeight="1">
      <c r="A372" s="469"/>
      <c r="B372" s="425"/>
      <c r="C372" s="51"/>
      <c r="D372" s="41"/>
    </row>
    <row r="373" ht="12.75" customHeight="1">
      <c r="A373" s="469"/>
      <c r="B373" s="425"/>
      <c r="C373" s="51"/>
      <c r="D373" s="41"/>
    </row>
    <row r="374" ht="12.75" customHeight="1">
      <c r="A374" s="469"/>
      <c r="B374" s="425"/>
      <c r="C374" s="51"/>
      <c r="D374" s="41"/>
    </row>
    <row r="375" ht="12.75" customHeight="1">
      <c r="A375" s="469"/>
      <c r="B375" s="425"/>
      <c r="C375" s="51"/>
      <c r="D375" s="41"/>
    </row>
    <row r="376" ht="12.75" customHeight="1">
      <c r="A376" s="469"/>
      <c r="B376" s="425"/>
      <c r="C376" s="51"/>
      <c r="D376" s="41"/>
    </row>
    <row r="377" ht="12.75" customHeight="1">
      <c r="A377" s="469"/>
      <c r="B377" s="425"/>
      <c r="C377" s="51"/>
      <c r="D377" s="41"/>
    </row>
    <row r="378" ht="12.75" customHeight="1">
      <c r="A378" s="469"/>
      <c r="B378" s="425"/>
      <c r="C378" s="51"/>
      <c r="D378" s="41"/>
    </row>
    <row r="379" ht="12.75" customHeight="1">
      <c r="A379" s="469"/>
      <c r="B379" s="425"/>
      <c r="C379" s="51"/>
      <c r="D379" s="41"/>
    </row>
    <row r="380" ht="12.75" customHeight="1">
      <c r="A380" s="469"/>
      <c r="B380" s="425"/>
      <c r="C380" s="51"/>
      <c r="D380" s="41"/>
    </row>
    <row r="381" ht="12.75" customHeight="1">
      <c r="A381" s="469"/>
      <c r="B381" s="425"/>
      <c r="C381" s="51"/>
      <c r="D381" s="41"/>
    </row>
    <row r="382" ht="12.75" customHeight="1">
      <c r="A382" s="469"/>
      <c r="B382" s="425"/>
      <c r="C382" s="51"/>
      <c r="D382" s="41"/>
    </row>
    <row r="383" ht="12.75" customHeight="1">
      <c r="A383" s="469"/>
      <c r="B383" s="425"/>
      <c r="C383" s="51"/>
      <c r="D383" s="41"/>
    </row>
    <row r="384" ht="12.75" customHeight="1">
      <c r="A384" s="469"/>
      <c r="B384" s="425"/>
      <c r="C384" s="51"/>
      <c r="D384" s="41"/>
    </row>
    <row r="385" ht="12.75" customHeight="1">
      <c r="A385" s="469"/>
      <c r="B385" s="425"/>
      <c r="C385" s="51"/>
      <c r="D385" s="41"/>
    </row>
    <row r="386" ht="12.75" customHeight="1">
      <c r="A386" s="469"/>
      <c r="B386" s="425"/>
      <c r="C386" s="51"/>
      <c r="D386" s="41"/>
    </row>
    <row r="387" ht="12.75" customHeight="1">
      <c r="A387" s="469"/>
      <c r="B387" s="425"/>
      <c r="C387" s="51"/>
      <c r="D387" s="41"/>
    </row>
    <row r="388" ht="12.75" customHeight="1">
      <c r="A388" s="469"/>
      <c r="B388" s="425"/>
      <c r="C388" s="51"/>
      <c r="D388" s="41"/>
    </row>
    <row r="389" ht="12.75" customHeight="1">
      <c r="A389" s="469"/>
      <c r="B389" s="425"/>
      <c r="C389" s="51"/>
      <c r="D389" s="41"/>
    </row>
    <row r="390" ht="12.75" customHeight="1">
      <c r="A390" s="469"/>
      <c r="B390" s="425"/>
      <c r="C390" s="51"/>
      <c r="D390" s="41"/>
    </row>
    <row r="391" ht="12.75" customHeight="1">
      <c r="A391" s="469"/>
      <c r="B391" s="425"/>
      <c r="C391" s="51"/>
      <c r="D391" s="41"/>
    </row>
    <row r="392" ht="12.75" customHeight="1">
      <c r="A392" s="469"/>
      <c r="B392" s="425"/>
      <c r="C392" s="51"/>
      <c r="D392" s="41"/>
    </row>
    <row r="393" ht="12.75" customHeight="1">
      <c r="A393" s="469"/>
      <c r="B393" s="425"/>
      <c r="C393" s="51"/>
      <c r="D393" s="41"/>
    </row>
    <row r="394" ht="12.75" customHeight="1">
      <c r="A394" s="469"/>
      <c r="B394" s="425"/>
      <c r="C394" s="51"/>
      <c r="D394" s="41"/>
    </row>
    <row r="395" ht="12.75" customHeight="1">
      <c r="A395" s="469"/>
      <c r="B395" s="425"/>
      <c r="C395" s="51"/>
      <c r="D395" s="41"/>
    </row>
    <row r="396" ht="12.75" customHeight="1">
      <c r="A396" s="469"/>
      <c r="B396" s="425"/>
      <c r="C396" s="51"/>
      <c r="D396" s="41"/>
    </row>
    <row r="397" ht="12.75" customHeight="1">
      <c r="A397" s="469"/>
      <c r="B397" s="425"/>
      <c r="C397" s="51"/>
      <c r="D397" s="41"/>
    </row>
    <row r="398" ht="12.75" customHeight="1">
      <c r="A398" s="469"/>
      <c r="B398" s="425"/>
      <c r="C398" s="51"/>
      <c r="D398" s="41"/>
    </row>
    <row r="399" ht="12.75" customHeight="1">
      <c r="A399" s="469"/>
      <c r="B399" s="425"/>
      <c r="C399" s="51"/>
      <c r="D399" s="41"/>
    </row>
    <row r="400" ht="12.75" customHeight="1">
      <c r="A400" s="469"/>
      <c r="B400" s="425"/>
      <c r="C400" s="51"/>
      <c r="D400" s="41"/>
    </row>
    <row r="401" ht="12.75" customHeight="1">
      <c r="A401" s="469"/>
      <c r="B401" s="425"/>
      <c r="C401" s="51"/>
      <c r="D401" s="41"/>
    </row>
    <row r="402" ht="12.75" customHeight="1">
      <c r="A402" s="469"/>
      <c r="B402" s="425"/>
      <c r="C402" s="51"/>
      <c r="D402" s="41"/>
    </row>
    <row r="403" ht="12.75" customHeight="1">
      <c r="A403" s="469"/>
      <c r="B403" s="425"/>
      <c r="C403" s="51"/>
      <c r="D403" s="41"/>
    </row>
    <row r="404" ht="12.75" customHeight="1">
      <c r="A404" s="469"/>
      <c r="B404" s="425"/>
      <c r="C404" s="51"/>
      <c r="D404" s="41"/>
    </row>
    <row r="405" ht="12.75" customHeight="1">
      <c r="A405" s="469"/>
      <c r="B405" s="425"/>
      <c r="C405" s="51"/>
      <c r="D405" s="41"/>
    </row>
    <row r="406" ht="12.75" customHeight="1">
      <c r="A406" s="469"/>
      <c r="B406" s="425"/>
      <c r="C406" s="51"/>
      <c r="D406" s="41"/>
    </row>
    <row r="407" ht="12.75" customHeight="1">
      <c r="A407" s="469"/>
      <c r="B407" s="425"/>
      <c r="C407" s="51"/>
      <c r="D407" s="41"/>
    </row>
    <row r="408" ht="12.75" customHeight="1">
      <c r="A408" s="469"/>
      <c r="B408" s="425"/>
      <c r="C408" s="51"/>
      <c r="D408" s="41"/>
    </row>
    <row r="409" ht="12.75" customHeight="1">
      <c r="A409" s="469"/>
      <c r="B409" s="425"/>
      <c r="C409" s="51"/>
      <c r="D409" s="41"/>
    </row>
    <row r="410" ht="12.75" customHeight="1">
      <c r="A410" s="469"/>
      <c r="B410" s="425"/>
      <c r="C410" s="51"/>
      <c r="D410" s="41"/>
    </row>
    <row r="411" ht="12.75" customHeight="1">
      <c r="A411" s="469"/>
      <c r="B411" s="425"/>
      <c r="C411" s="51"/>
      <c r="D411" s="41"/>
    </row>
    <row r="412" ht="12.75" customHeight="1">
      <c r="A412" s="469"/>
      <c r="B412" s="425"/>
      <c r="C412" s="51"/>
      <c r="D412" s="41"/>
    </row>
    <row r="413" ht="12.75" customHeight="1">
      <c r="A413" s="469"/>
      <c r="B413" s="425"/>
      <c r="C413" s="51"/>
      <c r="D413" s="41"/>
    </row>
    <row r="414" ht="12.75" customHeight="1">
      <c r="A414" s="469"/>
      <c r="B414" s="425"/>
      <c r="C414" s="51"/>
      <c r="D414" s="41"/>
    </row>
    <row r="415" ht="12.75" customHeight="1">
      <c r="A415" s="469"/>
      <c r="B415" s="425"/>
      <c r="C415" s="51"/>
      <c r="D415" s="41"/>
    </row>
    <row r="416" ht="12.75" customHeight="1">
      <c r="A416" s="469"/>
      <c r="B416" s="425"/>
      <c r="C416" s="51"/>
      <c r="D416" s="41"/>
    </row>
    <row r="417" ht="12.75" customHeight="1">
      <c r="A417" s="469"/>
      <c r="B417" s="425"/>
      <c r="C417" s="51"/>
      <c r="D417" s="41"/>
    </row>
    <row r="418" ht="12.75" customHeight="1">
      <c r="A418" s="469"/>
      <c r="B418" s="425"/>
      <c r="C418" s="51"/>
      <c r="D418" s="41"/>
    </row>
    <row r="419" ht="12.75" customHeight="1">
      <c r="A419" s="469"/>
      <c r="B419" s="425"/>
      <c r="C419" s="51"/>
      <c r="D419" s="41"/>
    </row>
    <row r="420" ht="12.75" customHeight="1">
      <c r="A420" s="469"/>
      <c r="B420" s="425"/>
      <c r="C420" s="51"/>
      <c r="D420" s="41"/>
    </row>
    <row r="421" ht="12.75" customHeight="1">
      <c r="A421" s="469"/>
      <c r="B421" s="425"/>
      <c r="C421" s="51"/>
      <c r="D421" s="41"/>
    </row>
    <row r="422" ht="12.75" customHeight="1">
      <c r="A422" s="469"/>
      <c r="B422" s="425"/>
      <c r="C422" s="51"/>
      <c r="D422" s="41"/>
    </row>
    <row r="423" ht="12.75" customHeight="1">
      <c r="A423" s="469"/>
      <c r="B423" s="425"/>
      <c r="C423" s="51"/>
      <c r="D423" s="41"/>
    </row>
    <row r="424" ht="12.75" customHeight="1">
      <c r="A424" s="469"/>
      <c r="B424" s="425"/>
      <c r="C424" s="51"/>
      <c r="D424" s="41"/>
    </row>
    <row r="425" ht="12.75" customHeight="1">
      <c r="A425" s="469"/>
      <c r="B425" s="425"/>
      <c r="C425" s="51"/>
      <c r="D425" s="41"/>
    </row>
    <row r="426" ht="12.75" customHeight="1">
      <c r="A426" s="469"/>
      <c r="B426" s="425"/>
      <c r="C426" s="51"/>
      <c r="D426" s="41"/>
    </row>
    <row r="427" ht="12.75" customHeight="1">
      <c r="A427" s="469"/>
      <c r="B427" s="425"/>
      <c r="C427" s="51"/>
      <c r="D427" s="41"/>
    </row>
    <row r="428" ht="12.75" customHeight="1">
      <c r="A428" s="469"/>
      <c r="B428" s="425"/>
      <c r="C428" s="51"/>
      <c r="D428" s="41"/>
    </row>
    <row r="429" ht="12.75" customHeight="1">
      <c r="A429" s="469"/>
      <c r="B429" s="425"/>
      <c r="C429" s="51"/>
      <c r="D429" s="41"/>
    </row>
    <row r="430" ht="12.75" customHeight="1">
      <c r="A430" s="469"/>
      <c r="B430" s="425"/>
      <c r="C430" s="51"/>
      <c r="D430" s="41"/>
    </row>
    <row r="431" ht="12.75" customHeight="1">
      <c r="A431" s="469"/>
      <c r="B431" s="425"/>
      <c r="C431" s="51"/>
      <c r="D431" s="41"/>
    </row>
    <row r="432" ht="12.75" customHeight="1">
      <c r="A432" s="469"/>
      <c r="B432" s="425"/>
      <c r="C432" s="51"/>
      <c r="D432" s="41"/>
    </row>
    <row r="433" ht="12.75" customHeight="1">
      <c r="A433" s="469"/>
      <c r="B433" s="425"/>
      <c r="C433" s="51"/>
      <c r="D433" s="41"/>
    </row>
    <row r="434" ht="12.75" customHeight="1">
      <c r="A434" s="469"/>
      <c r="B434" s="425"/>
      <c r="C434" s="51"/>
      <c r="D434" s="41"/>
    </row>
    <row r="435" ht="12.75" customHeight="1">
      <c r="A435" s="469"/>
      <c r="B435" s="425"/>
      <c r="C435" s="51"/>
      <c r="D435" s="41"/>
    </row>
    <row r="436" ht="12.75" customHeight="1">
      <c r="A436" s="469"/>
      <c r="B436" s="425"/>
      <c r="C436" s="51"/>
      <c r="D436" s="41"/>
    </row>
    <row r="437" ht="12.75" customHeight="1">
      <c r="A437" s="469"/>
      <c r="B437" s="425"/>
      <c r="C437" s="51"/>
      <c r="D437" s="41"/>
    </row>
    <row r="438" ht="12.75" customHeight="1">
      <c r="A438" s="469"/>
      <c r="B438" s="425"/>
      <c r="C438" s="51"/>
      <c r="D438" s="41"/>
    </row>
    <row r="439" ht="12.75" customHeight="1">
      <c r="A439" s="469"/>
      <c r="B439" s="425"/>
      <c r="C439" s="51"/>
      <c r="D439" s="41"/>
    </row>
    <row r="440" ht="12.75" customHeight="1">
      <c r="A440" s="469"/>
      <c r="B440" s="425"/>
      <c r="C440" s="51"/>
      <c r="D440" s="41"/>
    </row>
    <row r="441" ht="12.75" customHeight="1">
      <c r="A441" s="469"/>
      <c r="B441" s="425"/>
      <c r="C441" s="51"/>
      <c r="D441" s="41"/>
    </row>
    <row r="442" ht="12.75" customHeight="1">
      <c r="A442" s="469"/>
      <c r="B442" s="425"/>
      <c r="C442" s="51"/>
      <c r="D442" s="41"/>
    </row>
    <row r="443" ht="12.75" customHeight="1">
      <c r="A443" s="469"/>
      <c r="B443" s="425"/>
      <c r="C443" s="51"/>
      <c r="D443" s="41"/>
    </row>
    <row r="444" ht="12.75" customHeight="1">
      <c r="A444" s="469"/>
      <c r="B444" s="425"/>
      <c r="C444" s="51"/>
      <c r="D444" s="41"/>
    </row>
    <row r="445" ht="12.75" customHeight="1">
      <c r="A445" s="469"/>
      <c r="B445" s="425"/>
      <c r="C445" s="51"/>
      <c r="D445" s="41"/>
    </row>
    <row r="446" ht="12.75" customHeight="1">
      <c r="A446" s="469"/>
      <c r="B446" s="425"/>
      <c r="C446" s="51"/>
      <c r="D446" s="41"/>
    </row>
    <row r="447" ht="12.75" customHeight="1">
      <c r="A447" s="469"/>
      <c r="B447" s="425"/>
      <c r="C447" s="51"/>
      <c r="D447" s="41"/>
    </row>
    <row r="448" ht="12.75" customHeight="1">
      <c r="A448" s="469"/>
      <c r="B448" s="425"/>
      <c r="C448" s="51"/>
      <c r="D448" s="41"/>
    </row>
    <row r="449" ht="12.75" customHeight="1">
      <c r="A449" s="469"/>
      <c r="B449" s="425"/>
      <c r="C449" s="51"/>
      <c r="D449" s="41"/>
    </row>
    <row r="450" ht="12.75" customHeight="1">
      <c r="A450" s="469"/>
      <c r="B450" s="425"/>
      <c r="C450" s="51"/>
      <c r="D450" s="41"/>
    </row>
    <row r="451" ht="12.75" customHeight="1">
      <c r="A451" s="469"/>
      <c r="B451" s="425"/>
      <c r="C451" s="51"/>
      <c r="D451" s="41"/>
    </row>
    <row r="452" ht="12.75" customHeight="1">
      <c r="A452" s="469"/>
      <c r="B452" s="425"/>
      <c r="C452" s="51"/>
      <c r="D452" s="41"/>
    </row>
    <row r="453" ht="12.75" customHeight="1">
      <c r="A453" s="469"/>
      <c r="B453" s="425"/>
      <c r="C453" s="51"/>
      <c r="D453" s="41"/>
    </row>
    <row r="454" ht="12.75" customHeight="1">
      <c r="A454" s="469"/>
      <c r="B454" s="425"/>
      <c r="C454" s="51"/>
      <c r="D454" s="41"/>
    </row>
    <row r="455" ht="12.75" customHeight="1">
      <c r="A455" s="469"/>
      <c r="B455" s="425"/>
      <c r="C455" s="51"/>
      <c r="D455" s="41"/>
    </row>
    <row r="456" ht="12.75" customHeight="1">
      <c r="A456" s="469"/>
      <c r="B456" s="425"/>
      <c r="C456" s="51"/>
      <c r="D456" s="41"/>
    </row>
    <row r="457" ht="12.75" customHeight="1">
      <c r="A457" s="469"/>
      <c r="B457" s="425"/>
      <c r="C457" s="51"/>
      <c r="D457" s="41"/>
    </row>
    <row r="458" ht="12.75" customHeight="1">
      <c r="A458" s="469"/>
      <c r="B458" s="425"/>
      <c r="C458" s="51"/>
      <c r="D458" s="41"/>
    </row>
    <row r="459" ht="12.75" customHeight="1">
      <c r="A459" s="469"/>
      <c r="B459" s="425"/>
      <c r="C459" s="51"/>
      <c r="D459" s="41"/>
    </row>
    <row r="460" ht="12.75" customHeight="1">
      <c r="A460" s="469"/>
      <c r="B460" s="425"/>
      <c r="C460" s="51"/>
      <c r="D460" s="41"/>
    </row>
    <row r="461" ht="12.75" customHeight="1">
      <c r="A461" s="469"/>
      <c r="B461" s="425"/>
      <c r="C461" s="51"/>
      <c r="D461" s="41"/>
    </row>
    <row r="462" ht="12.75" customHeight="1">
      <c r="A462" s="469"/>
      <c r="B462" s="425"/>
      <c r="C462" s="51"/>
      <c r="D462" s="41"/>
    </row>
    <row r="463" ht="12.75" customHeight="1">
      <c r="A463" s="469"/>
      <c r="B463" s="425"/>
      <c r="C463" s="51"/>
      <c r="D463" s="41"/>
    </row>
    <row r="464" ht="12.75" customHeight="1">
      <c r="A464" s="469"/>
      <c r="B464" s="425"/>
      <c r="C464" s="51"/>
      <c r="D464" s="41"/>
    </row>
    <row r="465" ht="12.75" customHeight="1">
      <c r="A465" s="469"/>
      <c r="B465" s="425"/>
      <c r="C465" s="51"/>
      <c r="D465" s="41"/>
    </row>
    <row r="466" ht="12.75" customHeight="1">
      <c r="A466" s="469"/>
      <c r="B466" s="425"/>
      <c r="C466" s="51"/>
      <c r="D466" s="41"/>
    </row>
    <row r="467" ht="12.75" customHeight="1">
      <c r="A467" s="469"/>
      <c r="B467" s="425"/>
      <c r="C467" s="51"/>
      <c r="D467" s="41"/>
    </row>
    <row r="468" ht="12.75" customHeight="1">
      <c r="A468" s="469"/>
      <c r="B468" s="425"/>
      <c r="C468" s="51"/>
      <c r="D468" s="41"/>
    </row>
    <row r="469" ht="12.75" customHeight="1">
      <c r="A469" s="469"/>
      <c r="B469" s="425"/>
      <c r="C469" s="51"/>
      <c r="D469" s="41"/>
    </row>
    <row r="470" ht="12.75" customHeight="1">
      <c r="A470" s="469"/>
      <c r="B470" s="425"/>
      <c r="C470" s="51"/>
      <c r="D470" s="41"/>
    </row>
    <row r="471" ht="12.75" customHeight="1">
      <c r="A471" s="469"/>
      <c r="B471" s="425"/>
      <c r="C471" s="51"/>
      <c r="D471" s="41"/>
    </row>
    <row r="472" ht="12.75" customHeight="1">
      <c r="A472" s="469"/>
      <c r="B472" s="425"/>
      <c r="C472" s="51"/>
      <c r="D472" s="41"/>
    </row>
    <row r="473" ht="12.75" customHeight="1">
      <c r="A473" s="469"/>
      <c r="B473" s="425"/>
      <c r="C473" s="51"/>
      <c r="D473" s="41"/>
    </row>
    <row r="474" ht="12.75" customHeight="1">
      <c r="A474" s="469"/>
      <c r="B474" s="425"/>
      <c r="C474" s="51"/>
      <c r="D474" s="41"/>
    </row>
    <row r="475" ht="12.75" customHeight="1">
      <c r="A475" s="469"/>
      <c r="B475" s="425"/>
      <c r="C475" s="51"/>
      <c r="D475" s="41"/>
    </row>
    <row r="476" ht="12.75" customHeight="1">
      <c r="A476" s="469"/>
      <c r="B476" s="425"/>
      <c r="C476" s="51"/>
      <c r="D476" s="41"/>
    </row>
    <row r="477" ht="12.75" customHeight="1">
      <c r="A477" s="469"/>
      <c r="B477" s="425"/>
      <c r="C477" s="51"/>
      <c r="D477" s="41"/>
    </row>
    <row r="478" ht="12.75" customHeight="1">
      <c r="A478" s="469"/>
      <c r="B478" s="425"/>
      <c r="C478" s="51"/>
      <c r="D478" s="41"/>
    </row>
    <row r="479" ht="12.75" customHeight="1">
      <c r="A479" s="469"/>
      <c r="B479" s="425"/>
      <c r="C479" s="51"/>
      <c r="D479" s="41"/>
    </row>
    <row r="480" ht="12.75" customHeight="1">
      <c r="A480" s="469"/>
      <c r="B480" s="425"/>
      <c r="C480" s="51"/>
      <c r="D480" s="41"/>
    </row>
    <row r="481" ht="12.75" customHeight="1">
      <c r="A481" s="469"/>
      <c r="B481" s="425"/>
      <c r="C481" s="51"/>
      <c r="D481" s="41"/>
    </row>
    <row r="482" ht="12.75" customHeight="1">
      <c r="A482" s="469"/>
      <c r="B482" s="425"/>
      <c r="C482" s="51"/>
      <c r="D482" s="41"/>
    </row>
    <row r="483" ht="12.75" customHeight="1">
      <c r="A483" s="469"/>
      <c r="B483" s="425"/>
      <c r="C483" s="51"/>
      <c r="D483" s="41"/>
    </row>
    <row r="484" ht="12.75" customHeight="1">
      <c r="A484" s="469"/>
      <c r="B484" s="425"/>
      <c r="C484" s="51"/>
      <c r="D484" s="41"/>
    </row>
    <row r="485" ht="12.75" customHeight="1">
      <c r="A485" s="469"/>
      <c r="B485" s="425"/>
      <c r="C485" s="51"/>
      <c r="D485" s="41"/>
    </row>
    <row r="486" ht="12.75" customHeight="1">
      <c r="A486" s="469"/>
      <c r="B486" s="425"/>
      <c r="C486" s="51"/>
      <c r="D486" s="41"/>
    </row>
    <row r="487" ht="12.75" customHeight="1">
      <c r="A487" s="469"/>
      <c r="B487" s="425"/>
      <c r="C487" s="51"/>
      <c r="D487" s="41"/>
    </row>
    <row r="488" ht="12.75" customHeight="1">
      <c r="A488" s="469"/>
      <c r="B488" s="425"/>
      <c r="C488" s="51"/>
      <c r="D488" s="41"/>
    </row>
    <row r="489" ht="12.75" customHeight="1">
      <c r="A489" s="469"/>
      <c r="B489" s="425"/>
      <c r="C489" s="51"/>
      <c r="D489" s="41"/>
    </row>
    <row r="490" ht="12.75" customHeight="1">
      <c r="A490" s="469"/>
      <c r="B490" s="425"/>
      <c r="C490" s="51"/>
      <c r="D490" s="41"/>
    </row>
    <row r="491" ht="12.75" customHeight="1">
      <c r="A491" s="469"/>
      <c r="B491" s="425"/>
      <c r="C491" s="51"/>
      <c r="D491" s="41"/>
    </row>
    <row r="492" ht="12.75" customHeight="1">
      <c r="A492" s="469"/>
      <c r="B492" s="425"/>
      <c r="C492" s="51"/>
      <c r="D492" s="41"/>
    </row>
    <row r="493" ht="12.75" customHeight="1">
      <c r="A493" s="469"/>
      <c r="B493" s="425"/>
      <c r="C493" s="51"/>
      <c r="D493" s="41"/>
    </row>
    <row r="494" ht="12.75" customHeight="1">
      <c r="A494" s="469"/>
      <c r="B494" s="425"/>
      <c r="C494" s="51"/>
      <c r="D494" s="41"/>
    </row>
    <row r="495" ht="12.75" customHeight="1">
      <c r="A495" s="469"/>
      <c r="B495" s="425"/>
      <c r="C495" s="51"/>
      <c r="D495" s="41"/>
    </row>
    <row r="496" ht="12.75" customHeight="1">
      <c r="A496" s="469"/>
      <c r="B496" s="425"/>
      <c r="C496" s="51"/>
      <c r="D496" s="41"/>
    </row>
    <row r="497" ht="12.75" customHeight="1">
      <c r="A497" s="469"/>
      <c r="B497" s="425"/>
      <c r="C497" s="51"/>
      <c r="D497" s="41"/>
    </row>
    <row r="498" ht="12.75" customHeight="1">
      <c r="A498" s="469"/>
      <c r="B498" s="425"/>
      <c r="C498" s="51"/>
      <c r="D498" s="41"/>
    </row>
    <row r="499" ht="12.75" customHeight="1">
      <c r="A499" s="469"/>
      <c r="B499" s="425"/>
      <c r="C499" s="51"/>
      <c r="D499" s="41"/>
    </row>
    <row r="500" ht="12.75" customHeight="1">
      <c r="A500" s="469"/>
      <c r="B500" s="425"/>
      <c r="C500" s="51"/>
      <c r="D500" s="41"/>
    </row>
    <row r="501" ht="12.75" customHeight="1">
      <c r="A501" s="469"/>
      <c r="B501" s="425"/>
      <c r="C501" s="51"/>
      <c r="D501" s="41"/>
    </row>
    <row r="502" ht="12.75" customHeight="1">
      <c r="A502" s="469"/>
      <c r="B502" s="425"/>
      <c r="C502" s="51"/>
      <c r="D502" s="41"/>
    </row>
    <row r="503" ht="12.75" customHeight="1">
      <c r="A503" s="469"/>
      <c r="B503" s="425"/>
      <c r="C503" s="51"/>
      <c r="D503" s="41"/>
    </row>
    <row r="504" ht="12.75" customHeight="1">
      <c r="A504" s="469"/>
      <c r="B504" s="425"/>
      <c r="C504" s="51"/>
      <c r="D504" s="41"/>
    </row>
    <row r="505" ht="12.75" customHeight="1">
      <c r="A505" s="469"/>
      <c r="B505" s="425"/>
      <c r="C505" s="51"/>
      <c r="D505" s="41"/>
    </row>
    <row r="506" ht="12.75" customHeight="1">
      <c r="A506" s="469"/>
      <c r="B506" s="425"/>
      <c r="C506" s="51"/>
      <c r="D506" s="41"/>
    </row>
    <row r="507" ht="12.75" customHeight="1">
      <c r="A507" s="469"/>
      <c r="B507" s="425"/>
      <c r="C507" s="51"/>
      <c r="D507" s="41"/>
    </row>
    <row r="508" ht="12.75" customHeight="1">
      <c r="A508" s="469"/>
      <c r="B508" s="425"/>
      <c r="C508" s="51"/>
      <c r="D508" s="41"/>
    </row>
    <row r="509" ht="12.75" customHeight="1">
      <c r="A509" s="469"/>
      <c r="B509" s="425"/>
      <c r="C509" s="51"/>
      <c r="D509" s="41"/>
    </row>
    <row r="510" ht="12.75" customHeight="1">
      <c r="A510" s="469"/>
      <c r="B510" s="425"/>
      <c r="C510" s="51"/>
      <c r="D510" s="41"/>
    </row>
    <row r="511" ht="12.75" customHeight="1">
      <c r="A511" s="469"/>
      <c r="B511" s="425"/>
      <c r="C511" s="51"/>
      <c r="D511" s="41"/>
    </row>
    <row r="512" ht="12.75" customHeight="1">
      <c r="A512" s="469"/>
      <c r="B512" s="425"/>
      <c r="C512" s="51"/>
      <c r="D512" s="41"/>
    </row>
    <row r="513" ht="12.75" customHeight="1">
      <c r="A513" s="469"/>
      <c r="B513" s="425"/>
      <c r="C513" s="51"/>
      <c r="D513" s="41"/>
    </row>
    <row r="514" ht="12.75" customHeight="1">
      <c r="A514" s="469"/>
      <c r="B514" s="425"/>
      <c r="C514" s="51"/>
      <c r="D514" s="41"/>
    </row>
    <row r="515" ht="12.75" customHeight="1">
      <c r="A515" s="469"/>
      <c r="B515" s="425"/>
      <c r="C515" s="51"/>
      <c r="D515" s="41"/>
    </row>
    <row r="516" ht="12.75" customHeight="1">
      <c r="A516" s="469"/>
      <c r="B516" s="425"/>
      <c r="C516" s="51"/>
      <c r="D516" s="41"/>
    </row>
    <row r="517" ht="12.75" customHeight="1">
      <c r="A517" s="469"/>
      <c r="B517" s="425"/>
      <c r="C517" s="51"/>
      <c r="D517" s="41"/>
    </row>
    <row r="518" ht="12.75" customHeight="1">
      <c r="A518" s="469"/>
      <c r="B518" s="425"/>
      <c r="C518" s="51"/>
      <c r="D518" s="41"/>
    </row>
    <row r="519" ht="12.75" customHeight="1">
      <c r="A519" s="469"/>
      <c r="B519" s="425"/>
      <c r="C519" s="51"/>
      <c r="D519" s="41"/>
    </row>
    <row r="520" ht="12.75" customHeight="1">
      <c r="A520" s="469"/>
      <c r="B520" s="425"/>
      <c r="C520" s="51"/>
      <c r="D520" s="41"/>
    </row>
    <row r="521" ht="12.75" customHeight="1">
      <c r="A521" s="469"/>
      <c r="B521" s="425"/>
      <c r="C521" s="51"/>
      <c r="D521" s="41"/>
    </row>
    <row r="522" ht="12.75" customHeight="1">
      <c r="A522" s="469"/>
      <c r="B522" s="425"/>
      <c r="C522" s="51"/>
      <c r="D522" s="41"/>
    </row>
    <row r="523" ht="12.75" customHeight="1">
      <c r="A523" s="469"/>
      <c r="B523" s="425"/>
      <c r="C523" s="51"/>
      <c r="D523" s="41"/>
    </row>
    <row r="524" ht="12.75" customHeight="1">
      <c r="A524" s="469"/>
      <c r="B524" s="425"/>
      <c r="C524" s="51"/>
      <c r="D524" s="41"/>
    </row>
    <row r="525" ht="12.75" customHeight="1">
      <c r="A525" s="469"/>
      <c r="B525" s="425"/>
      <c r="C525" s="51"/>
      <c r="D525" s="41"/>
    </row>
    <row r="526" ht="12.75" customHeight="1">
      <c r="A526" s="469"/>
      <c r="B526" s="425"/>
      <c r="C526" s="51"/>
      <c r="D526" s="41"/>
    </row>
    <row r="527" ht="12.75" customHeight="1">
      <c r="A527" s="469"/>
      <c r="B527" s="425"/>
      <c r="C527" s="51"/>
      <c r="D527" s="41"/>
    </row>
    <row r="528" ht="12.75" customHeight="1">
      <c r="A528" s="469"/>
      <c r="B528" s="425"/>
      <c r="C528" s="51"/>
      <c r="D528" s="41"/>
    </row>
    <row r="529" ht="12.75" customHeight="1">
      <c r="A529" s="469"/>
      <c r="B529" s="425"/>
      <c r="C529" s="51"/>
      <c r="D529" s="41"/>
    </row>
    <row r="530" ht="12.75" customHeight="1">
      <c r="A530" s="469"/>
      <c r="B530" s="425"/>
      <c r="C530" s="51"/>
      <c r="D530" s="41"/>
    </row>
    <row r="531" ht="12.75" customHeight="1">
      <c r="A531" s="469"/>
      <c r="B531" s="425"/>
      <c r="C531" s="51"/>
      <c r="D531" s="41"/>
    </row>
    <row r="532" ht="12.75" customHeight="1">
      <c r="A532" s="469"/>
      <c r="B532" s="425"/>
      <c r="C532" s="51"/>
      <c r="D532" s="41"/>
    </row>
    <row r="533" ht="12.75" customHeight="1">
      <c r="A533" s="469"/>
      <c r="B533" s="425"/>
      <c r="C533" s="51"/>
      <c r="D533" s="41"/>
    </row>
    <row r="534" ht="12.75" customHeight="1">
      <c r="A534" s="469"/>
      <c r="B534" s="425"/>
      <c r="C534" s="51"/>
      <c r="D534" s="41"/>
    </row>
    <row r="535" ht="12.75" customHeight="1">
      <c r="A535" s="469"/>
      <c r="B535" s="425"/>
      <c r="C535" s="51"/>
      <c r="D535" s="41"/>
    </row>
    <row r="536" ht="12.75" customHeight="1">
      <c r="A536" s="469"/>
      <c r="B536" s="425"/>
      <c r="C536" s="51"/>
      <c r="D536" s="41"/>
    </row>
    <row r="537" ht="12.75" customHeight="1">
      <c r="A537" s="469"/>
      <c r="B537" s="425"/>
      <c r="C537" s="51"/>
      <c r="D537" s="41"/>
    </row>
    <row r="538" ht="12.75" customHeight="1">
      <c r="A538" s="469"/>
      <c r="B538" s="425"/>
      <c r="C538" s="51"/>
      <c r="D538" s="41"/>
    </row>
    <row r="539" ht="12.75" customHeight="1">
      <c r="A539" s="469"/>
      <c r="B539" s="425"/>
      <c r="C539" s="51"/>
      <c r="D539" s="41"/>
    </row>
    <row r="540" ht="12.75" customHeight="1">
      <c r="A540" s="469"/>
      <c r="B540" s="425"/>
      <c r="C540" s="51"/>
      <c r="D540" s="41"/>
    </row>
    <row r="541" ht="12.75" customHeight="1">
      <c r="A541" s="469"/>
      <c r="B541" s="425"/>
      <c r="C541" s="51"/>
      <c r="D541" s="41"/>
    </row>
    <row r="542" ht="12.75" customHeight="1">
      <c r="A542" s="469"/>
      <c r="B542" s="425"/>
      <c r="C542" s="51"/>
      <c r="D542" s="41"/>
    </row>
    <row r="543" ht="12.75" customHeight="1">
      <c r="A543" s="469"/>
      <c r="B543" s="425"/>
      <c r="C543" s="51"/>
      <c r="D543" s="41"/>
    </row>
    <row r="544" ht="12.75" customHeight="1">
      <c r="A544" s="469"/>
      <c r="B544" s="425"/>
      <c r="C544" s="51"/>
      <c r="D544" s="41"/>
    </row>
    <row r="545" ht="12.75" customHeight="1">
      <c r="A545" s="469"/>
      <c r="B545" s="425"/>
      <c r="C545" s="51"/>
      <c r="D545" s="41"/>
    </row>
    <row r="546" ht="12.75" customHeight="1">
      <c r="A546" s="469"/>
      <c r="B546" s="425"/>
      <c r="C546" s="51"/>
      <c r="D546" s="41"/>
    </row>
    <row r="547" ht="12.75" customHeight="1">
      <c r="A547" s="469"/>
      <c r="B547" s="425"/>
      <c r="C547" s="51"/>
      <c r="D547" s="41"/>
    </row>
    <row r="548" ht="12.75" customHeight="1">
      <c r="A548" s="469"/>
      <c r="B548" s="425"/>
      <c r="C548" s="51"/>
      <c r="D548" s="41"/>
    </row>
    <row r="549" ht="12.75" customHeight="1">
      <c r="A549" s="469"/>
      <c r="B549" s="425"/>
      <c r="C549" s="51"/>
      <c r="D549" s="41"/>
    </row>
    <row r="550" ht="12.75" customHeight="1">
      <c r="A550" s="469"/>
      <c r="B550" s="425"/>
      <c r="C550" s="51"/>
      <c r="D550" s="41"/>
    </row>
    <row r="551" ht="12.75" customHeight="1">
      <c r="A551" s="469"/>
      <c r="B551" s="425"/>
      <c r="C551" s="51"/>
      <c r="D551" s="41"/>
    </row>
    <row r="552" ht="12.75" customHeight="1">
      <c r="A552" s="469"/>
      <c r="B552" s="425"/>
      <c r="C552" s="51"/>
      <c r="D552" s="41"/>
    </row>
    <row r="553" ht="12.75" customHeight="1">
      <c r="A553" s="469"/>
      <c r="B553" s="425"/>
      <c r="C553" s="51"/>
      <c r="D553" s="41"/>
    </row>
    <row r="554" ht="12.75" customHeight="1">
      <c r="A554" s="469"/>
      <c r="B554" s="425"/>
      <c r="C554" s="51"/>
      <c r="D554" s="41"/>
    </row>
    <row r="555" ht="12.75" customHeight="1">
      <c r="A555" s="469"/>
      <c r="B555" s="425"/>
      <c r="C555" s="51"/>
      <c r="D555" s="41"/>
    </row>
    <row r="556" ht="12.75" customHeight="1">
      <c r="A556" s="469"/>
      <c r="B556" s="425"/>
      <c r="C556" s="51"/>
      <c r="D556" s="41"/>
    </row>
    <row r="557" ht="12.75" customHeight="1">
      <c r="A557" s="469"/>
      <c r="B557" s="425"/>
      <c r="C557" s="51"/>
      <c r="D557" s="41"/>
    </row>
    <row r="558" ht="12.75" customHeight="1">
      <c r="A558" s="469"/>
      <c r="B558" s="425"/>
      <c r="C558" s="51"/>
      <c r="D558" s="41"/>
    </row>
    <row r="559" ht="12.75" customHeight="1">
      <c r="A559" s="469"/>
      <c r="B559" s="425"/>
      <c r="C559" s="51"/>
      <c r="D559" s="41"/>
    </row>
    <row r="560" ht="12.75" customHeight="1">
      <c r="A560" s="469"/>
      <c r="B560" s="425"/>
      <c r="C560" s="51"/>
      <c r="D560" s="41"/>
    </row>
    <row r="561" ht="12.75" customHeight="1">
      <c r="A561" s="469"/>
      <c r="B561" s="425"/>
      <c r="C561" s="51"/>
      <c r="D561" s="41"/>
    </row>
    <row r="562" ht="12.75" customHeight="1">
      <c r="A562" s="469"/>
      <c r="B562" s="425"/>
      <c r="C562" s="51"/>
      <c r="D562" s="41"/>
    </row>
    <row r="563" ht="12.75" customHeight="1">
      <c r="A563" s="469"/>
      <c r="B563" s="425"/>
      <c r="C563" s="51"/>
      <c r="D563" s="41"/>
    </row>
    <row r="564" ht="12.75" customHeight="1">
      <c r="A564" s="469"/>
      <c r="B564" s="425"/>
      <c r="C564" s="51"/>
      <c r="D564" s="41"/>
    </row>
    <row r="565" ht="12.75" customHeight="1">
      <c r="A565" s="469"/>
      <c r="B565" s="425"/>
      <c r="C565" s="51"/>
      <c r="D565" s="41"/>
    </row>
    <row r="566" ht="12.75" customHeight="1">
      <c r="A566" s="469"/>
      <c r="B566" s="425"/>
      <c r="C566" s="51"/>
      <c r="D566" s="41"/>
    </row>
    <row r="567" ht="12.75" customHeight="1">
      <c r="A567" s="469"/>
      <c r="B567" s="425"/>
      <c r="C567" s="51"/>
      <c r="D567" s="41"/>
    </row>
    <row r="568" ht="12.75" customHeight="1">
      <c r="A568" s="469"/>
      <c r="B568" s="425"/>
      <c r="C568" s="51"/>
      <c r="D568" s="41"/>
    </row>
    <row r="569" ht="12.75" customHeight="1">
      <c r="A569" s="469"/>
      <c r="B569" s="425"/>
      <c r="C569" s="51"/>
      <c r="D569" s="41"/>
    </row>
    <row r="570" ht="12.75" customHeight="1">
      <c r="A570" s="469"/>
      <c r="B570" s="425"/>
      <c r="C570" s="51"/>
      <c r="D570" s="41"/>
    </row>
    <row r="571" ht="12.75" customHeight="1">
      <c r="A571" s="469"/>
      <c r="B571" s="425"/>
      <c r="C571" s="51"/>
      <c r="D571" s="41"/>
    </row>
    <row r="572" ht="12.75" customHeight="1">
      <c r="A572" s="469"/>
      <c r="B572" s="425"/>
      <c r="C572" s="51"/>
      <c r="D572" s="41"/>
    </row>
    <row r="573" ht="12.75" customHeight="1">
      <c r="A573" s="469"/>
      <c r="B573" s="425"/>
      <c r="C573" s="51"/>
      <c r="D573" s="41"/>
    </row>
    <row r="574" ht="12.75" customHeight="1">
      <c r="A574" s="469"/>
      <c r="B574" s="425"/>
      <c r="C574" s="51"/>
      <c r="D574" s="41"/>
    </row>
    <row r="575" ht="12.75" customHeight="1">
      <c r="A575" s="469"/>
      <c r="B575" s="425"/>
      <c r="C575" s="51"/>
      <c r="D575" s="41"/>
    </row>
    <row r="576" ht="12.75" customHeight="1">
      <c r="A576" s="469"/>
      <c r="B576" s="425"/>
      <c r="C576" s="51"/>
      <c r="D576" s="41"/>
    </row>
    <row r="577" ht="12.75" customHeight="1">
      <c r="A577" s="469"/>
      <c r="B577" s="425"/>
      <c r="C577" s="51"/>
      <c r="D577" s="41"/>
    </row>
    <row r="578" ht="12.75" customHeight="1">
      <c r="A578" s="469"/>
      <c r="B578" s="425"/>
      <c r="C578" s="51"/>
      <c r="D578" s="41"/>
    </row>
    <row r="579" ht="12.75" customHeight="1">
      <c r="A579" s="469"/>
      <c r="B579" s="425"/>
      <c r="C579" s="51"/>
      <c r="D579" s="41"/>
    </row>
    <row r="580" ht="12.75" customHeight="1">
      <c r="A580" s="469"/>
      <c r="B580" s="425"/>
      <c r="C580" s="51"/>
      <c r="D580" s="41"/>
    </row>
    <row r="581" ht="12.75" customHeight="1">
      <c r="A581" s="469"/>
      <c r="B581" s="425"/>
      <c r="C581" s="51"/>
      <c r="D581" s="41"/>
    </row>
    <row r="582" ht="12.75" customHeight="1">
      <c r="A582" s="469"/>
      <c r="B582" s="425"/>
      <c r="C582" s="51"/>
      <c r="D582" s="41"/>
    </row>
    <row r="583" ht="12.75" customHeight="1">
      <c r="A583" s="469"/>
      <c r="B583" s="425"/>
      <c r="C583" s="51"/>
      <c r="D583" s="41"/>
    </row>
    <row r="584" ht="12.75" customHeight="1">
      <c r="A584" s="469"/>
      <c r="B584" s="425"/>
      <c r="C584" s="51"/>
      <c r="D584" s="41"/>
    </row>
    <row r="585" ht="12.75" customHeight="1">
      <c r="A585" s="469"/>
      <c r="B585" s="425"/>
      <c r="C585" s="51"/>
      <c r="D585" s="41"/>
    </row>
    <row r="586" ht="12.75" customHeight="1">
      <c r="A586" s="469"/>
      <c r="B586" s="425"/>
      <c r="C586" s="51"/>
      <c r="D586" s="41"/>
    </row>
    <row r="587" ht="12.75" customHeight="1">
      <c r="A587" s="469"/>
      <c r="B587" s="425"/>
      <c r="C587" s="51"/>
      <c r="D587" s="41"/>
    </row>
    <row r="588" ht="12.75" customHeight="1">
      <c r="A588" s="469"/>
      <c r="B588" s="425"/>
      <c r="C588" s="51"/>
      <c r="D588" s="41"/>
    </row>
    <row r="589" ht="12.75" customHeight="1">
      <c r="A589" s="469"/>
      <c r="B589" s="425"/>
      <c r="C589" s="51"/>
      <c r="D589" s="41"/>
    </row>
    <row r="590" ht="12.75" customHeight="1">
      <c r="A590" s="469"/>
      <c r="B590" s="425"/>
      <c r="C590" s="51"/>
      <c r="D590" s="41"/>
    </row>
    <row r="591" ht="12.75" customHeight="1">
      <c r="A591" s="469"/>
      <c r="B591" s="425"/>
      <c r="C591" s="51"/>
      <c r="D591" s="41"/>
    </row>
    <row r="592" ht="12.75" customHeight="1">
      <c r="A592" s="469"/>
      <c r="B592" s="425"/>
      <c r="C592" s="51"/>
      <c r="D592" s="41"/>
    </row>
    <row r="593" ht="12.75" customHeight="1">
      <c r="A593" s="469"/>
      <c r="B593" s="425"/>
      <c r="C593" s="51"/>
      <c r="D593" s="41"/>
    </row>
    <row r="594" ht="12.75" customHeight="1">
      <c r="A594" s="469"/>
      <c r="B594" s="425"/>
      <c r="C594" s="51"/>
      <c r="D594" s="41"/>
    </row>
    <row r="595" ht="12.75" customHeight="1">
      <c r="A595" s="469"/>
      <c r="B595" s="425"/>
      <c r="C595" s="51"/>
      <c r="D595" s="41"/>
    </row>
    <row r="596" ht="12.75" customHeight="1">
      <c r="A596" s="469"/>
      <c r="B596" s="425"/>
      <c r="C596" s="51"/>
      <c r="D596" s="41"/>
    </row>
    <row r="597" ht="12.75" customHeight="1">
      <c r="A597" s="469"/>
      <c r="B597" s="425"/>
      <c r="C597" s="51"/>
      <c r="D597" s="41"/>
    </row>
    <row r="598" ht="12.75" customHeight="1">
      <c r="A598" s="469"/>
      <c r="B598" s="425"/>
      <c r="C598" s="51"/>
      <c r="D598" s="41"/>
    </row>
    <row r="599" ht="12.75" customHeight="1">
      <c r="A599" s="469"/>
      <c r="B599" s="425"/>
      <c r="C599" s="51"/>
      <c r="D599" s="41"/>
    </row>
    <row r="600" ht="12.75" customHeight="1">
      <c r="A600" s="469"/>
      <c r="B600" s="425"/>
      <c r="C600" s="51"/>
      <c r="D600" s="41"/>
    </row>
    <row r="601" ht="12.75" customHeight="1">
      <c r="A601" s="469"/>
      <c r="B601" s="425"/>
      <c r="C601" s="51"/>
      <c r="D601" s="41"/>
    </row>
    <row r="602" ht="12.75" customHeight="1">
      <c r="A602" s="469"/>
      <c r="B602" s="425"/>
      <c r="C602" s="51"/>
      <c r="D602" s="41"/>
    </row>
    <row r="603" ht="12.75" customHeight="1">
      <c r="A603" s="469"/>
      <c r="B603" s="425"/>
      <c r="C603" s="51"/>
      <c r="D603" s="41"/>
    </row>
    <row r="604" ht="12.75" customHeight="1">
      <c r="A604" s="469"/>
      <c r="B604" s="425"/>
      <c r="C604" s="51"/>
      <c r="D604" s="41"/>
    </row>
    <row r="605" ht="12.75" customHeight="1">
      <c r="A605" s="469"/>
      <c r="B605" s="425"/>
      <c r="C605" s="51"/>
      <c r="D605" s="41"/>
    </row>
    <row r="606" ht="12.75" customHeight="1">
      <c r="A606" s="469"/>
      <c r="B606" s="425"/>
      <c r="C606" s="51"/>
      <c r="D606" s="41"/>
    </row>
    <row r="607" ht="12.75" customHeight="1">
      <c r="A607" s="469"/>
      <c r="B607" s="425"/>
      <c r="C607" s="51"/>
      <c r="D607" s="41"/>
    </row>
    <row r="608" ht="12.75" customHeight="1">
      <c r="A608" s="469"/>
      <c r="B608" s="425"/>
      <c r="C608" s="51"/>
      <c r="D608" s="41"/>
    </row>
    <row r="609" ht="12.75" customHeight="1">
      <c r="A609" s="469"/>
      <c r="B609" s="425"/>
      <c r="C609" s="51"/>
      <c r="D609" s="41"/>
    </row>
    <row r="610" ht="12.75" customHeight="1">
      <c r="A610" s="469"/>
      <c r="B610" s="425"/>
      <c r="C610" s="51"/>
      <c r="D610" s="41"/>
    </row>
    <row r="611" ht="12.75" customHeight="1">
      <c r="A611" s="469"/>
      <c r="B611" s="425"/>
      <c r="C611" s="51"/>
      <c r="D611" s="41"/>
    </row>
    <row r="612" ht="12.75" customHeight="1">
      <c r="A612" s="469"/>
      <c r="B612" s="425"/>
      <c r="C612" s="51"/>
      <c r="D612" s="41"/>
    </row>
    <row r="613" ht="12.75" customHeight="1">
      <c r="A613" s="469"/>
      <c r="B613" s="425"/>
      <c r="C613" s="51"/>
      <c r="D613" s="41"/>
    </row>
    <row r="614" ht="12.75" customHeight="1">
      <c r="A614" s="469"/>
      <c r="B614" s="425"/>
      <c r="C614" s="51"/>
      <c r="D614" s="41"/>
    </row>
    <row r="615" ht="12.75" customHeight="1">
      <c r="A615" s="469"/>
      <c r="B615" s="425"/>
      <c r="C615" s="51"/>
      <c r="D615" s="41"/>
    </row>
    <row r="616" ht="12.75" customHeight="1">
      <c r="A616" s="469"/>
      <c r="B616" s="425"/>
      <c r="C616" s="51"/>
      <c r="D616" s="41"/>
    </row>
    <row r="617" ht="12.75" customHeight="1">
      <c r="A617" s="469"/>
      <c r="B617" s="425"/>
      <c r="C617" s="51"/>
      <c r="D617" s="41"/>
    </row>
    <row r="618" ht="12.75" customHeight="1">
      <c r="A618" s="469"/>
      <c r="B618" s="425"/>
      <c r="C618" s="51"/>
      <c r="D618" s="41"/>
    </row>
    <row r="619" ht="12.75" customHeight="1">
      <c r="A619" s="469"/>
      <c r="B619" s="425"/>
      <c r="C619" s="51"/>
      <c r="D619" s="41"/>
    </row>
    <row r="620" ht="12.75" customHeight="1">
      <c r="A620" s="469"/>
      <c r="B620" s="425"/>
      <c r="C620" s="51"/>
      <c r="D620" s="41"/>
    </row>
    <row r="621" ht="12.75" customHeight="1">
      <c r="A621" s="469"/>
      <c r="B621" s="425"/>
      <c r="C621" s="51"/>
      <c r="D621" s="41"/>
    </row>
    <row r="622" ht="12.75" customHeight="1">
      <c r="A622" s="469"/>
      <c r="B622" s="425"/>
      <c r="C622" s="51"/>
      <c r="D622" s="41"/>
    </row>
    <row r="623" ht="12.75" customHeight="1">
      <c r="A623" s="469"/>
      <c r="B623" s="425"/>
      <c r="C623" s="51"/>
      <c r="D623" s="41"/>
    </row>
    <row r="624" ht="12.75" customHeight="1">
      <c r="A624" s="469"/>
      <c r="B624" s="425"/>
      <c r="C624" s="51"/>
      <c r="D624" s="41"/>
    </row>
    <row r="625" ht="12.75" customHeight="1">
      <c r="A625" s="469"/>
      <c r="B625" s="425"/>
      <c r="C625" s="51"/>
      <c r="D625" s="41"/>
    </row>
    <row r="626" ht="12.75" customHeight="1">
      <c r="A626" s="469"/>
      <c r="B626" s="425"/>
      <c r="C626" s="51"/>
      <c r="D626" s="41"/>
    </row>
    <row r="627" ht="12.75" customHeight="1">
      <c r="A627" s="469"/>
      <c r="B627" s="425"/>
      <c r="C627" s="51"/>
      <c r="D627" s="41"/>
    </row>
    <row r="628" ht="12.75" customHeight="1">
      <c r="A628" s="469"/>
      <c r="B628" s="425"/>
      <c r="C628" s="51"/>
      <c r="D628" s="41"/>
    </row>
    <row r="629" ht="12.75" customHeight="1">
      <c r="A629" s="469"/>
      <c r="B629" s="425"/>
      <c r="C629" s="51"/>
      <c r="D629" s="41"/>
    </row>
    <row r="630" ht="12.75" customHeight="1">
      <c r="A630" s="469"/>
      <c r="B630" s="425"/>
      <c r="C630" s="51"/>
      <c r="D630" s="41"/>
    </row>
    <row r="631" ht="12.75" customHeight="1">
      <c r="A631" s="469"/>
      <c r="B631" s="425"/>
      <c r="C631" s="51"/>
      <c r="D631" s="41"/>
    </row>
    <row r="632" ht="12.75" customHeight="1">
      <c r="A632" s="469"/>
      <c r="B632" s="425"/>
      <c r="C632" s="51"/>
      <c r="D632" s="41"/>
    </row>
    <row r="633" ht="12.75" customHeight="1">
      <c r="A633" s="469"/>
      <c r="B633" s="425"/>
      <c r="C633" s="51"/>
      <c r="D633" s="41"/>
    </row>
    <row r="634" ht="12.75" customHeight="1">
      <c r="A634" s="469"/>
      <c r="B634" s="425"/>
      <c r="C634" s="51"/>
      <c r="D634" s="41"/>
    </row>
    <row r="635" ht="12.75" customHeight="1">
      <c r="A635" s="469"/>
      <c r="B635" s="425"/>
      <c r="C635" s="51"/>
      <c r="D635" s="41"/>
    </row>
    <row r="636" ht="12.75" customHeight="1">
      <c r="A636" s="469"/>
      <c r="B636" s="425"/>
      <c r="C636" s="51"/>
      <c r="D636" s="41"/>
    </row>
    <row r="637" ht="12.75" customHeight="1">
      <c r="A637" s="469"/>
      <c r="B637" s="425"/>
      <c r="C637" s="51"/>
      <c r="D637" s="41"/>
    </row>
    <row r="638" ht="12.75" customHeight="1">
      <c r="A638" s="469"/>
      <c r="B638" s="425"/>
      <c r="C638" s="51"/>
      <c r="D638" s="41"/>
    </row>
    <row r="639" ht="12.75" customHeight="1">
      <c r="A639" s="469"/>
      <c r="B639" s="425"/>
      <c r="C639" s="51"/>
      <c r="D639" s="41"/>
    </row>
    <row r="640" ht="12.75" customHeight="1">
      <c r="A640" s="469"/>
      <c r="B640" s="425"/>
      <c r="C640" s="51"/>
      <c r="D640" s="41"/>
    </row>
    <row r="641" ht="12.75" customHeight="1">
      <c r="A641" s="469"/>
      <c r="B641" s="425"/>
      <c r="C641" s="51"/>
      <c r="D641" s="41"/>
    </row>
    <row r="642" ht="12.75" customHeight="1">
      <c r="A642" s="469"/>
      <c r="B642" s="425"/>
      <c r="C642" s="51"/>
      <c r="D642" s="41"/>
    </row>
    <row r="643" ht="12.75" customHeight="1">
      <c r="A643" s="469"/>
      <c r="B643" s="425"/>
      <c r="C643" s="51"/>
      <c r="D643" s="41"/>
    </row>
    <row r="644" ht="12.75" customHeight="1">
      <c r="A644" s="469"/>
      <c r="B644" s="425"/>
      <c r="C644" s="51"/>
      <c r="D644" s="41"/>
    </row>
    <row r="645" ht="12.75" customHeight="1">
      <c r="A645" s="469"/>
      <c r="B645" s="425"/>
      <c r="C645" s="51"/>
      <c r="D645" s="41"/>
    </row>
    <row r="646" ht="12.75" customHeight="1">
      <c r="A646" s="469"/>
      <c r="B646" s="425"/>
      <c r="C646" s="51"/>
      <c r="D646" s="41"/>
    </row>
    <row r="647" ht="12.75" customHeight="1">
      <c r="A647" s="469"/>
      <c r="B647" s="425"/>
      <c r="C647" s="51"/>
      <c r="D647" s="41"/>
    </row>
    <row r="648" ht="12.75" customHeight="1">
      <c r="A648" s="469"/>
      <c r="B648" s="425"/>
      <c r="C648" s="51"/>
      <c r="D648" s="41"/>
    </row>
    <row r="649" ht="12.75" customHeight="1">
      <c r="A649" s="469"/>
      <c r="B649" s="425"/>
      <c r="C649" s="51"/>
      <c r="D649" s="41"/>
    </row>
    <row r="650" ht="12.75" customHeight="1">
      <c r="A650" s="469"/>
      <c r="B650" s="425"/>
      <c r="C650" s="51"/>
      <c r="D650" s="41"/>
    </row>
    <row r="651" ht="12.75" customHeight="1">
      <c r="A651" s="469"/>
      <c r="B651" s="425"/>
      <c r="C651" s="51"/>
      <c r="D651" s="41"/>
    </row>
    <row r="652" ht="12.75" customHeight="1">
      <c r="A652" s="469"/>
      <c r="B652" s="425"/>
      <c r="C652" s="51"/>
      <c r="D652" s="41"/>
    </row>
    <row r="653" ht="12.75" customHeight="1">
      <c r="A653" s="469"/>
      <c r="B653" s="425"/>
      <c r="C653" s="51"/>
      <c r="D653" s="41"/>
    </row>
    <row r="654" ht="12.75" customHeight="1">
      <c r="A654" s="469"/>
      <c r="B654" s="425"/>
      <c r="C654" s="51"/>
      <c r="D654" s="41"/>
    </row>
    <row r="655" ht="12.75" customHeight="1">
      <c r="A655" s="469"/>
      <c r="B655" s="425"/>
      <c r="C655" s="51"/>
      <c r="D655" s="41"/>
    </row>
    <row r="656" ht="12.75" customHeight="1">
      <c r="A656" s="469"/>
      <c r="B656" s="425"/>
      <c r="C656" s="51"/>
      <c r="D656" s="41"/>
    </row>
    <row r="657" ht="12.75" customHeight="1">
      <c r="A657" s="469"/>
      <c r="B657" s="425"/>
      <c r="C657" s="51"/>
      <c r="D657" s="41"/>
    </row>
    <row r="658" ht="12.75" customHeight="1">
      <c r="A658" s="469"/>
      <c r="B658" s="425"/>
      <c r="C658" s="51"/>
      <c r="D658" s="41"/>
    </row>
    <row r="659" ht="12.75" customHeight="1">
      <c r="A659" s="469"/>
      <c r="B659" s="425"/>
      <c r="C659" s="51"/>
      <c r="D659" s="41"/>
    </row>
    <row r="660" ht="12.75" customHeight="1">
      <c r="A660" s="469"/>
      <c r="B660" s="425"/>
      <c r="C660" s="51"/>
      <c r="D660" s="41"/>
    </row>
    <row r="661" ht="12.75" customHeight="1">
      <c r="A661" s="469"/>
      <c r="B661" s="425"/>
      <c r="C661" s="51"/>
      <c r="D661" s="41"/>
    </row>
    <row r="662" ht="12.75" customHeight="1">
      <c r="A662" s="469"/>
      <c r="B662" s="425"/>
      <c r="C662" s="51"/>
      <c r="D662" s="41"/>
    </row>
    <row r="663" ht="12.75" customHeight="1">
      <c r="A663" s="469"/>
      <c r="B663" s="425"/>
      <c r="C663" s="51"/>
      <c r="D663" s="41"/>
    </row>
    <row r="664" ht="12.75" customHeight="1">
      <c r="A664" s="469"/>
      <c r="B664" s="425"/>
      <c r="C664" s="51"/>
      <c r="D664" s="41"/>
    </row>
    <row r="665" ht="12.75" customHeight="1">
      <c r="A665" s="469"/>
      <c r="B665" s="425"/>
      <c r="C665" s="51"/>
      <c r="D665" s="41"/>
    </row>
    <row r="666" ht="12.75" customHeight="1">
      <c r="A666" s="469"/>
      <c r="B666" s="425"/>
      <c r="C666" s="51"/>
      <c r="D666" s="41"/>
    </row>
    <row r="667" ht="12.75" customHeight="1">
      <c r="A667" s="469"/>
      <c r="B667" s="425"/>
      <c r="C667" s="51"/>
      <c r="D667" s="41"/>
    </row>
    <row r="668" ht="12.75" customHeight="1">
      <c r="A668" s="469"/>
      <c r="B668" s="425"/>
      <c r="C668" s="51"/>
      <c r="D668" s="41"/>
    </row>
    <row r="669" ht="12.75" customHeight="1">
      <c r="A669" s="469"/>
      <c r="B669" s="425"/>
      <c r="C669" s="51"/>
      <c r="D669" s="41"/>
    </row>
    <row r="670" ht="12.75" customHeight="1">
      <c r="A670" s="469"/>
      <c r="B670" s="425"/>
      <c r="C670" s="51"/>
      <c r="D670" s="41"/>
    </row>
    <row r="671" ht="12.75" customHeight="1">
      <c r="A671" s="469"/>
      <c r="B671" s="425"/>
      <c r="C671" s="51"/>
      <c r="D671" s="41"/>
    </row>
    <row r="672" ht="12.75" customHeight="1">
      <c r="A672" s="469"/>
      <c r="B672" s="425"/>
      <c r="C672" s="51"/>
      <c r="D672" s="41"/>
    </row>
    <row r="673" ht="12.75" customHeight="1">
      <c r="A673" s="469"/>
      <c r="B673" s="425"/>
      <c r="C673" s="51"/>
      <c r="D673" s="41"/>
    </row>
    <row r="674" ht="12.75" customHeight="1">
      <c r="A674" s="469"/>
      <c r="B674" s="425"/>
      <c r="C674" s="51"/>
      <c r="D674" s="41"/>
    </row>
    <row r="675" ht="12.75" customHeight="1">
      <c r="A675" s="469"/>
      <c r="B675" s="425"/>
      <c r="C675" s="51"/>
      <c r="D675" s="41"/>
    </row>
    <row r="676" ht="12.75" customHeight="1">
      <c r="A676" s="469"/>
      <c r="B676" s="425"/>
      <c r="C676" s="51"/>
      <c r="D676" s="41"/>
    </row>
    <row r="677" ht="12.75" customHeight="1">
      <c r="A677" s="469"/>
      <c r="B677" s="425"/>
      <c r="C677" s="51"/>
      <c r="D677" s="41"/>
    </row>
    <row r="678" ht="12.75" customHeight="1">
      <c r="A678" s="469"/>
      <c r="B678" s="425"/>
      <c r="C678" s="51"/>
      <c r="D678" s="41"/>
    </row>
    <row r="679" ht="12.75" customHeight="1">
      <c r="A679" s="469"/>
      <c r="B679" s="425"/>
      <c r="C679" s="51"/>
      <c r="D679" s="41"/>
    </row>
    <row r="680" ht="12.75" customHeight="1">
      <c r="A680" s="469"/>
      <c r="B680" s="425"/>
      <c r="C680" s="51"/>
      <c r="D680" s="41"/>
    </row>
    <row r="681" ht="12.75" customHeight="1">
      <c r="A681" s="469"/>
      <c r="B681" s="425"/>
      <c r="C681" s="51"/>
      <c r="D681" s="41"/>
    </row>
    <row r="682" ht="12.75" customHeight="1">
      <c r="A682" s="469"/>
      <c r="B682" s="425"/>
      <c r="C682" s="51"/>
      <c r="D682" s="41"/>
    </row>
    <row r="683" ht="12.75" customHeight="1">
      <c r="A683" s="469"/>
      <c r="B683" s="425"/>
      <c r="C683" s="51"/>
      <c r="D683" s="41"/>
    </row>
    <row r="684" ht="12.75" customHeight="1">
      <c r="A684" s="469"/>
      <c r="B684" s="425"/>
      <c r="C684" s="51"/>
      <c r="D684" s="41"/>
    </row>
    <row r="685" ht="12.75" customHeight="1">
      <c r="A685" s="469"/>
      <c r="B685" s="425"/>
      <c r="C685" s="51"/>
      <c r="D685" s="41"/>
    </row>
    <row r="686" ht="12.75" customHeight="1">
      <c r="A686" s="469"/>
      <c r="B686" s="425"/>
      <c r="C686" s="51"/>
      <c r="D686" s="41"/>
    </row>
    <row r="687" ht="12.75" customHeight="1">
      <c r="A687" s="469"/>
      <c r="B687" s="425"/>
      <c r="C687" s="51"/>
      <c r="D687" s="41"/>
    </row>
    <row r="688" ht="12.75" customHeight="1">
      <c r="A688" s="469"/>
      <c r="B688" s="425"/>
      <c r="C688" s="51"/>
      <c r="D688" s="41"/>
    </row>
    <row r="689" ht="12.75" customHeight="1">
      <c r="A689" s="469"/>
      <c r="B689" s="425"/>
      <c r="C689" s="51"/>
      <c r="D689" s="41"/>
    </row>
    <row r="690" ht="12.75" customHeight="1">
      <c r="A690" s="469"/>
      <c r="B690" s="425"/>
      <c r="C690" s="51"/>
      <c r="D690" s="41"/>
    </row>
    <row r="691" ht="12.75" customHeight="1">
      <c r="A691" s="469"/>
      <c r="B691" s="425"/>
      <c r="C691" s="51"/>
      <c r="D691" s="41"/>
    </row>
    <row r="692" ht="12.75" customHeight="1">
      <c r="A692" s="469"/>
      <c r="B692" s="425"/>
      <c r="C692" s="51"/>
      <c r="D692" s="41"/>
    </row>
    <row r="693" ht="12.75" customHeight="1">
      <c r="A693" s="469"/>
      <c r="B693" s="425"/>
      <c r="C693" s="51"/>
      <c r="D693" s="41"/>
    </row>
    <row r="694" ht="12.75" customHeight="1">
      <c r="A694" s="469"/>
      <c r="B694" s="425"/>
      <c r="C694" s="51"/>
      <c r="D694" s="41"/>
    </row>
    <row r="695" ht="12.75" customHeight="1">
      <c r="A695" s="469"/>
      <c r="B695" s="425"/>
      <c r="C695" s="51"/>
      <c r="D695" s="41"/>
    </row>
    <row r="696" ht="12.75" customHeight="1">
      <c r="A696" s="469"/>
      <c r="B696" s="425"/>
      <c r="C696" s="51"/>
      <c r="D696" s="41"/>
    </row>
    <row r="697" ht="12.75" customHeight="1">
      <c r="A697" s="469"/>
      <c r="B697" s="425"/>
      <c r="C697" s="51"/>
      <c r="D697" s="41"/>
    </row>
    <row r="698" ht="12.75" customHeight="1">
      <c r="A698" s="469"/>
      <c r="B698" s="425"/>
      <c r="C698" s="51"/>
      <c r="D698" s="41"/>
    </row>
    <row r="699" ht="12.75" customHeight="1">
      <c r="A699" s="469"/>
      <c r="B699" s="425"/>
      <c r="C699" s="51"/>
      <c r="D699" s="41"/>
    </row>
    <row r="700" ht="12.75" customHeight="1">
      <c r="A700" s="469"/>
      <c r="B700" s="425"/>
      <c r="C700" s="51"/>
      <c r="D700" s="41"/>
    </row>
    <row r="701" ht="12.75" customHeight="1">
      <c r="A701" s="469"/>
      <c r="B701" s="425"/>
      <c r="C701" s="51"/>
      <c r="D701" s="41"/>
    </row>
    <row r="702" ht="12.75" customHeight="1">
      <c r="A702" s="469"/>
      <c r="B702" s="425"/>
      <c r="C702" s="51"/>
      <c r="D702" s="41"/>
    </row>
    <row r="703" ht="12.75" customHeight="1">
      <c r="A703" s="469"/>
      <c r="B703" s="425"/>
      <c r="C703" s="51"/>
      <c r="D703" s="41"/>
    </row>
    <row r="704" ht="12.75" customHeight="1">
      <c r="A704" s="469"/>
      <c r="B704" s="425"/>
      <c r="C704" s="51"/>
      <c r="D704" s="41"/>
    </row>
    <row r="705" ht="12.75" customHeight="1">
      <c r="A705" s="469"/>
      <c r="B705" s="425"/>
      <c r="C705" s="51"/>
      <c r="D705" s="41"/>
    </row>
    <row r="706" ht="12.75" customHeight="1">
      <c r="A706" s="469"/>
      <c r="B706" s="425"/>
      <c r="C706" s="51"/>
      <c r="D706" s="41"/>
    </row>
    <row r="707" ht="12.75" customHeight="1">
      <c r="A707" s="469"/>
      <c r="B707" s="425"/>
      <c r="C707" s="51"/>
      <c r="D707" s="41"/>
    </row>
    <row r="708" ht="12.75" customHeight="1">
      <c r="A708" s="469"/>
      <c r="B708" s="425"/>
      <c r="C708" s="51"/>
      <c r="D708" s="41"/>
    </row>
    <row r="709" ht="12.75" customHeight="1">
      <c r="A709" s="469"/>
      <c r="B709" s="425"/>
      <c r="C709" s="51"/>
      <c r="D709" s="41"/>
    </row>
    <row r="710" ht="12.75" customHeight="1">
      <c r="A710" s="469"/>
      <c r="B710" s="425"/>
      <c r="C710" s="51"/>
      <c r="D710" s="41"/>
    </row>
    <row r="711" ht="12.75" customHeight="1">
      <c r="A711" s="469"/>
      <c r="B711" s="425"/>
      <c r="C711" s="51"/>
      <c r="D711" s="41"/>
    </row>
    <row r="712" ht="12.75" customHeight="1">
      <c r="A712" s="469"/>
      <c r="B712" s="425"/>
      <c r="C712" s="51"/>
      <c r="D712" s="41"/>
    </row>
    <row r="713" ht="12.75" customHeight="1">
      <c r="A713" s="469"/>
      <c r="B713" s="425"/>
      <c r="C713" s="51"/>
      <c r="D713" s="41"/>
    </row>
    <row r="714" ht="12.75" customHeight="1">
      <c r="A714" s="469"/>
      <c r="B714" s="425"/>
      <c r="C714" s="51"/>
      <c r="D714" s="41"/>
    </row>
    <row r="715" ht="12.75" customHeight="1">
      <c r="A715" s="469"/>
      <c r="B715" s="425"/>
      <c r="C715" s="51"/>
      <c r="D715" s="41"/>
    </row>
    <row r="716" ht="12.75" customHeight="1">
      <c r="A716" s="469"/>
      <c r="B716" s="425"/>
      <c r="C716" s="51"/>
      <c r="D716" s="41"/>
    </row>
    <row r="717" ht="12.75" customHeight="1">
      <c r="A717" s="469"/>
      <c r="B717" s="425"/>
      <c r="C717" s="51"/>
      <c r="D717" s="41"/>
    </row>
    <row r="718" ht="12.75" customHeight="1">
      <c r="A718" s="469"/>
      <c r="B718" s="425"/>
      <c r="C718" s="51"/>
      <c r="D718" s="41"/>
    </row>
    <row r="719" ht="12.75" customHeight="1">
      <c r="A719" s="469"/>
      <c r="B719" s="425"/>
      <c r="C719" s="51"/>
      <c r="D719" s="41"/>
    </row>
    <row r="720" ht="12.75" customHeight="1">
      <c r="A720" s="469"/>
      <c r="B720" s="425"/>
      <c r="C720" s="51"/>
      <c r="D720" s="41"/>
    </row>
    <row r="721" ht="12.75" customHeight="1">
      <c r="A721" s="469"/>
      <c r="B721" s="425"/>
      <c r="C721" s="51"/>
      <c r="D721" s="41"/>
    </row>
    <row r="722" ht="12.75" customHeight="1">
      <c r="A722" s="469"/>
      <c r="B722" s="425"/>
      <c r="C722" s="51"/>
      <c r="D722" s="41"/>
    </row>
    <row r="723" ht="12.75" customHeight="1">
      <c r="A723" s="469"/>
      <c r="B723" s="425"/>
      <c r="C723" s="51"/>
      <c r="D723" s="41"/>
    </row>
    <row r="724" ht="12.75" customHeight="1">
      <c r="A724" s="469"/>
      <c r="B724" s="425"/>
      <c r="C724" s="51"/>
      <c r="D724" s="41"/>
    </row>
    <row r="725" ht="12.75" customHeight="1">
      <c r="A725" s="469"/>
      <c r="B725" s="425"/>
      <c r="C725" s="51"/>
      <c r="D725" s="41"/>
    </row>
    <row r="726" ht="12.75" customHeight="1">
      <c r="A726" s="469"/>
      <c r="B726" s="425"/>
      <c r="C726" s="51"/>
      <c r="D726" s="41"/>
    </row>
    <row r="727" ht="12.75" customHeight="1">
      <c r="A727" s="469"/>
      <c r="B727" s="425"/>
      <c r="C727" s="51"/>
      <c r="D727" s="41"/>
    </row>
    <row r="728" ht="12.75" customHeight="1">
      <c r="A728" s="469"/>
      <c r="B728" s="425"/>
      <c r="C728" s="51"/>
      <c r="D728" s="41"/>
    </row>
    <row r="729" ht="12.75" customHeight="1">
      <c r="A729" s="469"/>
      <c r="B729" s="425"/>
      <c r="C729" s="51"/>
      <c r="D729" s="41"/>
    </row>
    <row r="730" ht="12.75" customHeight="1">
      <c r="A730" s="469"/>
      <c r="B730" s="425"/>
      <c r="C730" s="51"/>
      <c r="D730" s="41"/>
    </row>
    <row r="731" ht="12.75" customHeight="1">
      <c r="A731" s="469"/>
      <c r="B731" s="425"/>
      <c r="C731" s="51"/>
      <c r="D731" s="41"/>
    </row>
    <row r="732" ht="12.75" customHeight="1">
      <c r="A732" s="469"/>
      <c r="B732" s="425"/>
      <c r="C732" s="51"/>
      <c r="D732" s="41"/>
    </row>
    <row r="733" ht="12.75" customHeight="1">
      <c r="A733" s="469"/>
      <c r="B733" s="425"/>
      <c r="C733" s="51"/>
      <c r="D733" s="41"/>
    </row>
    <row r="734" ht="12.75" customHeight="1">
      <c r="A734" s="469"/>
      <c r="B734" s="425"/>
      <c r="C734" s="51"/>
      <c r="D734" s="41"/>
    </row>
    <row r="735" ht="12.75" customHeight="1">
      <c r="A735" s="469"/>
      <c r="B735" s="425"/>
      <c r="C735" s="51"/>
      <c r="D735" s="41"/>
    </row>
    <row r="736" ht="12.75" customHeight="1">
      <c r="A736" s="469"/>
      <c r="B736" s="425"/>
      <c r="C736" s="51"/>
      <c r="D736" s="41"/>
    </row>
    <row r="737" ht="12.75" customHeight="1">
      <c r="A737" s="469"/>
      <c r="B737" s="425"/>
      <c r="C737" s="51"/>
      <c r="D737" s="41"/>
    </row>
    <row r="738" ht="12.75" customHeight="1">
      <c r="A738" s="469"/>
      <c r="B738" s="425"/>
      <c r="C738" s="51"/>
      <c r="D738" s="41"/>
    </row>
    <row r="739" ht="12.75" customHeight="1">
      <c r="A739" s="469"/>
      <c r="B739" s="425"/>
      <c r="C739" s="51"/>
      <c r="D739" s="41"/>
    </row>
    <row r="740" ht="12.75" customHeight="1">
      <c r="A740" s="469"/>
      <c r="B740" s="425"/>
      <c r="C740" s="51"/>
      <c r="D740" s="41"/>
    </row>
    <row r="741" ht="12.75" customHeight="1">
      <c r="A741" s="469"/>
      <c r="B741" s="425"/>
      <c r="C741" s="51"/>
      <c r="D741" s="41"/>
    </row>
    <row r="742" ht="12.75" customHeight="1">
      <c r="A742" s="469"/>
      <c r="B742" s="425"/>
      <c r="C742" s="51"/>
      <c r="D742" s="41"/>
    </row>
    <row r="743" ht="12.75" customHeight="1">
      <c r="A743" s="469"/>
      <c r="B743" s="425"/>
      <c r="C743" s="51"/>
      <c r="D743" s="41"/>
    </row>
    <row r="744" ht="12.75" customHeight="1">
      <c r="A744" s="469"/>
      <c r="B744" s="425"/>
      <c r="C744" s="51"/>
      <c r="D744" s="41"/>
    </row>
    <row r="745" ht="12.75" customHeight="1">
      <c r="A745" s="469"/>
      <c r="B745" s="425"/>
      <c r="C745" s="51"/>
      <c r="D745" s="41"/>
    </row>
    <row r="746" ht="12.75" customHeight="1">
      <c r="A746" s="469"/>
      <c r="B746" s="425"/>
      <c r="C746" s="51"/>
      <c r="D746" s="41"/>
    </row>
    <row r="747" ht="12.75" customHeight="1">
      <c r="A747" s="469"/>
      <c r="B747" s="425"/>
      <c r="C747" s="51"/>
      <c r="D747" s="41"/>
    </row>
    <row r="748" ht="12.75" customHeight="1">
      <c r="A748" s="469"/>
      <c r="B748" s="425"/>
      <c r="C748" s="51"/>
      <c r="D748" s="41"/>
    </row>
    <row r="749" ht="12.75" customHeight="1">
      <c r="A749" s="469"/>
      <c r="B749" s="425"/>
      <c r="C749" s="51"/>
      <c r="D749" s="41"/>
    </row>
    <row r="750" ht="12.75" customHeight="1">
      <c r="A750" s="469"/>
      <c r="B750" s="425"/>
      <c r="C750" s="51"/>
      <c r="D750" s="41"/>
    </row>
    <row r="751" ht="12.75" customHeight="1">
      <c r="A751" s="469"/>
      <c r="B751" s="425"/>
      <c r="C751" s="51"/>
      <c r="D751" s="41"/>
    </row>
    <row r="752" ht="12.75" customHeight="1">
      <c r="A752" s="469"/>
      <c r="B752" s="425"/>
      <c r="C752" s="51"/>
      <c r="D752" s="41"/>
    </row>
    <row r="753" ht="12.75" customHeight="1">
      <c r="A753" s="469"/>
      <c r="B753" s="425"/>
      <c r="C753" s="51"/>
      <c r="D753" s="41"/>
    </row>
    <row r="754" ht="12.75" customHeight="1">
      <c r="A754" s="469"/>
      <c r="B754" s="425"/>
      <c r="C754" s="51"/>
      <c r="D754" s="41"/>
    </row>
    <row r="755" ht="12.75" customHeight="1">
      <c r="A755" s="469"/>
      <c r="B755" s="425"/>
      <c r="C755" s="51"/>
      <c r="D755" s="41"/>
    </row>
    <row r="756" ht="12.75" customHeight="1">
      <c r="A756" s="469"/>
      <c r="B756" s="425"/>
      <c r="C756" s="51"/>
      <c r="D756" s="41"/>
    </row>
    <row r="757" ht="12.75" customHeight="1">
      <c r="A757" s="469"/>
      <c r="B757" s="425"/>
      <c r="C757" s="51"/>
      <c r="D757" s="41"/>
    </row>
    <row r="758" ht="12.75" customHeight="1">
      <c r="A758" s="469"/>
      <c r="B758" s="425"/>
      <c r="C758" s="51"/>
      <c r="D758" s="41"/>
    </row>
    <row r="759" ht="12.75" customHeight="1">
      <c r="A759" s="469"/>
      <c r="B759" s="425"/>
      <c r="C759" s="51"/>
      <c r="D759" s="41"/>
    </row>
    <row r="760" ht="12.75" customHeight="1">
      <c r="A760" s="469"/>
      <c r="B760" s="425"/>
      <c r="C760" s="51"/>
      <c r="D760" s="41"/>
    </row>
    <row r="761" ht="12.75" customHeight="1">
      <c r="A761" s="469"/>
      <c r="B761" s="425"/>
      <c r="C761" s="51"/>
      <c r="D761" s="41"/>
    </row>
    <row r="762" ht="12.75" customHeight="1">
      <c r="A762" s="469"/>
      <c r="B762" s="425"/>
      <c r="C762" s="51"/>
      <c r="D762" s="41"/>
    </row>
    <row r="763" ht="12.75" customHeight="1">
      <c r="A763" s="469"/>
      <c r="B763" s="425"/>
      <c r="C763" s="51"/>
      <c r="D763" s="41"/>
    </row>
    <row r="764" ht="12.75" customHeight="1">
      <c r="A764" s="469"/>
      <c r="B764" s="425"/>
      <c r="C764" s="51"/>
      <c r="D764" s="41"/>
    </row>
    <row r="765" ht="12.75" customHeight="1">
      <c r="A765" s="469"/>
      <c r="B765" s="425"/>
      <c r="C765" s="51"/>
      <c r="D765" s="41"/>
    </row>
    <row r="766" ht="12.75" customHeight="1">
      <c r="A766" s="469"/>
      <c r="B766" s="425"/>
      <c r="C766" s="51"/>
      <c r="D766" s="41"/>
    </row>
    <row r="767" ht="12.75" customHeight="1">
      <c r="A767" s="469"/>
      <c r="B767" s="425"/>
      <c r="C767" s="51"/>
      <c r="D767" s="41"/>
    </row>
    <row r="768" ht="12.75" customHeight="1">
      <c r="A768" s="469"/>
      <c r="B768" s="425"/>
      <c r="C768" s="51"/>
      <c r="D768" s="41"/>
    </row>
    <row r="769" ht="12.75" customHeight="1">
      <c r="A769" s="469"/>
      <c r="B769" s="425"/>
      <c r="C769" s="51"/>
      <c r="D769" s="41"/>
    </row>
    <row r="770" ht="12.75" customHeight="1">
      <c r="A770" s="469"/>
      <c r="B770" s="425"/>
      <c r="C770" s="51"/>
      <c r="D770" s="41"/>
    </row>
    <row r="771" ht="12.75" customHeight="1">
      <c r="A771" s="469"/>
      <c r="B771" s="425"/>
      <c r="C771" s="51"/>
      <c r="D771" s="41"/>
    </row>
    <row r="772" ht="12.75" customHeight="1">
      <c r="A772" s="469"/>
      <c r="B772" s="425"/>
      <c r="C772" s="51"/>
      <c r="D772" s="41"/>
    </row>
    <row r="773" ht="12.75" customHeight="1">
      <c r="A773" s="469"/>
      <c r="B773" s="425"/>
      <c r="C773" s="51"/>
      <c r="D773" s="41"/>
    </row>
    <row r="774" ht="12.75" customHeight="1">
      <c r="A774" s="469"/>
      <c r="B774" s="425"/>
      <c r="C774" s="51"/>
      <c r="D774" s="41"/>
    </row>
    <row r="775" ht="12.75" customHeight="1">
      <c r="A775" s="469"/>
      <c r="B775" s="425"/>
      <c r="C775" s="51"/>
      <c r="D775" s="41"/>
    </row>
    <row r="776" ht="12.75" customHeight="1">
      <c r="A776" s="469"/>
      <c r="B776" s="425"/>
      <c r="C776" s="51"/>
      <c r="D776" s="41"/>
    </row>
    <row r="777" ht="12.75" customHeight="1">
      <c r="A777" s="469"/>
      <c r="B777" s="425"/>
      <c r="C777" s="51"/>
      <c r="D777" s="41"/>
    </row>
    <row r="778" ht="12.75" customHeight="1">
      <c r="A778" s="469"/>
      <c r="B778" s="425"/>
      <c r="C778" s="51"/>
      <c r="D778" s="41"/>
    </row>
    <row r="779" ht="12.75" customHeight="1">
      <c r="A779" s="469"/>
      <c r="B779" s="425"/>
      <c r="C779" s="51"/>
      <c r="D779" s="41"/>
    </row>
    <row r="780" ht="12.75" customHeight="1">
      <c r="A780" s="469"/>
      <c r="B780" s="425"/>
      <c r="C780" s="51"/>
      <c r="D780" s="41"/>
    </row>
    <row r="781" ht="12.75" customHeight="1">
      <c r="A781" s="469"/>
      <c r="B781" s="425"/>
      <c r="C781" s="51"/>
      <c r="D781" s="41"/>
    </row>
    <row r="782" ht="12.75" customHeight="1">
      <c r="A782" s="469"/>
      <c r="B782" s="425"/>
      <c r="C782" s="51"/>
      <c r="D782" s="41"/>
    </row>
    <row r="783" ht="12.75" customHeight="1">
      <c r="A783" s="469"/>
      <c r="B783" s="425"/>
      <c r="C783" s="51"/>
      <c r="D783" s="41"/>
    </row>
    <row r="784" ht="12.75" customHeight="1">
      <c r="A784" s="469"/>
      <c r="B784" s="425"/>
      <c r="C784" s="51"/>
      <c r="D784" s="41"/>
    </row>
    <row r="785" ht="12.75" customHeight="1">
      <c r="A785" s="469"/>
      <c r="B785" s="425"/>
      <c r="C785" s="51"/>
      <c r="D785" s="41"/>
    </row>
    <row r="786" ht="12.75" customHeight="1">
      <c r="A786" s="469"/>
      <c r="B786" s="425"/>
      <c r="C786" s="51"/>
      <c r="D786" s="41"/>
    </row>
    <row r="787" ht="12.75" customHeight="1">
      <c r="A787" s="469"/>
      <c r="B787" s="425"/>
      <c r="C787" s="51"/>
      <c r="D787" s="41"/>
    </row>
    <row r="788" ht="12.75" customHeight="1">
      <c r="A788" s="469"/>
      <c r="B788" s="425"/>
      <c r="C788" s="51"/>
      <c r="D788" s="41"/>
    </row>
    <row r="789" ht="12.75" customHeight="1">
      <c r="A789" s="469"/>
      <c r="B789" s="425"/>
      <c r="C789" s="51"/>
      <c r="D789" s="41"/>
    </row>
    <row r="790" ht="12.75" customHeight="1">
      <c r="A790" s="469"/>
      <c r="B790" s="425"/>
      <c r="C790" s="51"/>
      <c r="D790" s="41"/>
    </row>
    <row r="791" ht="12.75" customHeight="1">
      <c r="A791" s="469"/>
      <c r="B791" s="425"/>
      <c r="C791" s="51"/>
      <c r="D791" s="41"/>
    </row>
    <row r="792" ht="12.75" customHeight="1">
      <c r="A792" s="469"/>
      <c r="B792" s="425"/>
      <c r="C792" s="51"/>
      <c r="D792" s="41"/>
    </row>
    <row r="793" ht="12.75" customHeight="1">
      <c r="A793" s="469"/>
      <c r="B793" s="425"/>
      <c r="C793" s="51"/>
      <c r="D793" s="41"/>
    </row>
    <row r="794" ht="12.75" customHeight="1">
      <c r="A794" s="469"/>
      <c r="B794" s="425"/>
      <c r="C794" s="51"/>
      <c r="D794" s="41"/>
    </row>
    <row r="795" ht="12.75" customHeight="1">
      <c r="A795" s="469"/>
      <c r="B795" s="425"/>
      <c r="C795" s="51"/>
      <c r="D795" s="41"/>
    </row>
    <row r="796" ht="12.75" customHeight="1">
      <c r="A796" s="469"/>
      <c r="B796" s="425"/>
      <c r="C796" s="51"/>
      <c r="D796" s="41"/>
    </row>
    <row r="797" ht="12.75" customHeight="1">
      <c r="A797" s="469"/>
      <c r="B797" s="425"/>
      <c r="C797" s="51"/>
      <c r="D797" s="41"/>
    </row>
    <row r="798" ht="12.75" customHeight="1">
      <c r="A798" s="469"/>
      <c r="B798" s="425"/>
      <c r="C798" s="51"/>
      <c r="D798" s="41"/>
    </row>
    <row r="799" ht="12.75" customHeight="1">
      <c r="A799" s="469"/>
      <c r="B799" s="425"/>
      <c r="C799" s="51"/>
      <c r="D799" s="41"/>
    </row>
    <row r="800" ht="12.75" customHeight="1">
      <c r="A800" s="469"/>
      <c r="B800" s="425"/>
      <c r="C800" s="51"/>
      <c r="D800" s="41"/>
    </row>
    <row r="801" ht="12.75" customHeight="1">
      <c r="A801" s="469"/>
      <c r="B801" s="425"/>
      <c r="C801" s="51"/>
      <c r="D801" s="41"/>
    </row>
    <row r="802" ht="12.75" customHeight="1">
      <c r="A802" s="469"/>
      <c r="B802" s="425"/>
      <c r="C802" s="51"/>
      <c r="D802" s="41"/>
    </row>
    <row r="803" ht="12.75" customHeight="1">
      <c r="A803" s="469"/>
      <c r="B803" s="425"/>
      <c r="C803" s="51"/>
      <c r="D803" s="41"/>
    </row>
    <row r="804" ht="12.75" customHeight="1">
      <c r="A804" s="469"/>
      <c r="B804" s="425"/>
      <c r="C804" s="51"/>
      <c r="D804" s="41"/>
    </row>
    <row r="805" ht="12.75" customHeight="1">
      <c r="A805" s="469"/>
      <c r="B805" s="425"/>
      <c r="C805" s="51"/>
      <c r="D805" s="41"/>
    </row>
    <row r="806" ht="12.75" customHeight="1">
      <c r="A806" s="469"/>
      <c r="B806" s="425"/>
      <c r="C806" s="51"/>
      <c r="D806" s="41"/>
    </row>
    <row r="807" ht="12.75" customHeight="1">
      <c r="A807" s="469"/>
      <c r="B807" s="425"/>
      <c r="C807" s="51"/>
      <c r="D807" s="41"/>
    </row>
    <row r="808" ht="12.75" customHeight="1">
      <c r="A808" s="469"/>
      <c r="B808" s="425"/>
      <c r="C808" s="51"/>
      <c r="D808" s="41"/>
    </row>
    <row r="809" ht="12.75" customHeight="1">
      <c r="A809" s="469"/>
      <c r="B809" s="425"/>
      <c r="C809" s="51"/>
      <c r="D809" s="41"/>
    </row>
    <row r="810" ht="12.75" customHeight="1">
      <c r="A810" s="469"/>
      <c r="B810" s="425"/>
      <c r="C810" s="51"/>
      <c r="D810" s="41"/>
    </row>
    <row r="811" ht="12.75" customHeight="1">
      <c r="A811" s="469"/>
      <c r="B811" s="425"/>
      <c r="C811" s="51"/>
      <c r="D811" s="41"/>
    </row>
    <row r="812" ht="12.75" customHeight="1">
      <c r="A812" s="469"/>
      <c r="B812" s="425"/>
      <c r="C812" s="51"/>
      <c r="D812" s="41"/>
    </row>
    <row r="813" ht="12.75" customHeight="1">
      <c r="A813" s="469"/>
      <c r="B813" s="425"/>
      <c r="C813" s="51"/>
      <c r="D813" s="41"/>
    </row>
    <row r="814" ht="12.75" customHeight="1">
      <c r="A814" s="469"/>
      <c r="B814" s="425"/>
      <c r="C814" s="51"/>
      <c r="D814" s="41"/>
    </row>
    <row r="815" ht="12.75" customHeight="1">
      <c r="A815" s="469"/>
      <c r="B815" s="425"/>
      <c r="C815" s="51"/>
      <c r="D815" s="41"/>
    </row>
    <row r="816" ht="12.75" customHeight="1">
      <c r="A816" s="469"/>
      <c r="B816" s="425"/>
      <c r="C816" s="51"/>
      <c r="D816" s="41"/>
    </row>
    <row r="817" ht="12.75" customHeight="1">
      <c r="A817" s="469"/>
      <c r="B817" s="425"/>
      <c r="C817" s="51"/>
      <c r="D817" s="41"/>
    </row>
    <row r="818" ht="12.75" customHeight="1">
      <c r="A818" s="469"/>
      <c r="B818" s="425"/>
      <c r="C818" s="51"/>
      <c r="D818" s="41"/>
    </row>
    <row r="819" ht="12.75" customHeight="1">
      <c r="A819" s="469"/>
      <c r="B819" s="425"/>
      <c r="C819" s="51"/>
      <c r="D819" s="41"/>
    </row>
    <row r="820" ht="12.75" customHeight="1">
      <c r="A820" s="469"/>
      <c r="B820" s="425"/>
      <c r="C820" s="51"/>
      <c r="D820" s="41"/>
    </row>
    <row r="821" ht="12.75" customHeight="1">
      <c r="A821" s="469"/>
      <c r="B821" s="425"/>
      <c r="C821" s="51"/>
      <c r="D821" s="41"/>
    </row>
    <row r="822" ht="12.75" customHeight="1">
      <c r="A822" s="469"/>
      <c r="B822" s="425"/>
      <c r="C822" s="51"/>
      <c r="D822" s="41"/>
    </row>
    <row r="823" ht="12.75" customHeight="1">
      <c r="A823" s="469"/>
      <c r="B823" s="425"/>
      <c r="C823" s="51"/>
      <c r="D823" s="41"/>
    </row>
    <row r="824" ht="12.75" customHeight="1">
      <c r="A824" s="469"/>
      <c r="B824" s="425"/>
      <c r="C824" s="51"/>
      <c r="D824" s="41"/>
    </row>
    <row r="825" ht="12.75" customHeight="1">
      <c r="A825" s="469"/>
      <c r="B825" s="425"/>
      <c r="C825" s="51"/>
      <c r="D825" s="41"/>
    </row>
    <row r="826" ht="12.75" customHeight="1">
      <c r="A826" s="469"/>
      <c r="B826" s="425"/>
      <c r="C826" s="51"/>
      <c r="D826" s="41"/>
    </row>
    <row r="827" ht="12.75" customHeight="1">
      <c r="A827" s="469"/>
      <c r="B827" s="425"/>
      <c r="C827" s="51"/>
      <c r="D827" s="41"/>
    </row>
    <row r="828" ht="12.75" customHeight="1">
      <c r="A828" s="469"/>
      <c r="B828" s="425"/>
      <c r="C828" s="51"/>
      <c r="D828" s="41"/>
    </row>
    <row r="829" ht="12.75" customHeight="1">
      <c r="A829" s="469"/>
      <c r="B829" s="425"/>
      <c r="C829" s="51"/>
      <c r="D829" s="41"/>
    </row>
    <row r="830" ht="12.75" customHeight="1">
      <c r="A830" s="469"/>
      <c r="B830" s="425"/>
      <c r="C830" s="51"/>
      <c r="D830" s="41"/>
    </row>
    <row r="831" ht="12.75" customHeight="1">
      <c r="A831" s="469"/>
      <c r="B831" s="425"/>
      <c r="C831" s="51"/>
      <c r="D831" s="41"/>
    </row>
    <row r="832" ht="12.75" customHeight="1">
      <c r="A832" s="469"/>
      <c r="B832" s="425"/>
      <c r="C832" s="51"/>
      <c r="D832" s="41"/>
    </row>
    <row r="833" ht="12.75" customHeight="1">
      <c r="A833" s="469"/>
      <c r="B833" s="425"/>
      <c r="C833" s="51"/>
      <c r="D833" s="41"/>
    </row>
    <row r="834" ht="12.75" customHeight="1">
      <c r="A834" s="469"/>
      <c r="B834" s="425"/>
      <c r="C834" s="51"/>
      <c r="D834" s="41"/>
    </row>
    <row r="835" ht="12.75" customHeight="1">
      <c r="A835" s="469"/>
      <c r="B835" s="425"/>
      <c r="C835" s="51"/>
      <c r="D835" s="41"/>
    </row>
    <row r="836" ht="12.75" customHeight="1">
      <c r="A836" s="469"/>
      <c r="B836" s="425"/>
      <c r="C836" s="51"/>
      <c r="D836" s="41"/>
    </row>
    <row r="837" ht="12.75" customHeight="1">
      <c r="A837" s="469"/>
      <c r="B837" s="425"/>
      <c r="C837" s="51"/>
      <c r="D837" s="41"/>
    </row>
    <row r="838" ht="12.75" customHeight="1">
      <c r="A838" s="469"/>
      <c r="B838" s="425"/>
      <c r="C838" s="51"/>
      <c r="D838" s="41"/>
    </row>
    <row r="839" ht="12.75" customHeight="1">
      <c r="A839" s="469"/>
      <c r="B839" s="425"/>
      <c r="C839" s="51"/>
      <c r="D839" s="41"/>
    </row>
    <row r="840" ht="12.75" customHeight="1">
      <c r="A840" s="469"/>
      <c r="B840" s="425"/>
      <c r="C840" s="51"/>
      <c r="D840" s="41"/>
    </row>
    <row r="841" ht="12.75" customHeight="1">
      <c r="A841" s="469"/>
      <c r="B841" s="425"/>
      <c r="C841" s="51"/>
      <c r="D841" s="41"/>
    </row>
    <row r="842" ht="12.75" customHeight="1">
      <c r="A842" s="469"/>
      <c r="B842" s="425"/>
      <c r="C842" s="51"/>
      <c r="D842" s="41"/>
    </row>
    <row r="843" ht="12.75" customHeight="1">
      <c r="A843" s="469"/>
      <c r="B843" s="425"/>
      <c r="C843" s="51"/>
      <c r="D843" s="41"/>
    </row>
    <row r="844" ht="12.75" customHeight="1">
      <c r="A844" s="469"/>
      <c r="B844" s="425"/>
      <c r="C844" s="51"/>
      <c r="D844" s="41"/>
    </row>
    <row r="845" ht="12.75" customHeight="1">
      <c r="A845" s="469"/>
      <c r="B845" s="425"/>
      <c r="C845" s="51"/>
      <c r="D845" s="41"/>
    </row>
    <row r="846" ht="12.75" customHeight="1">
      <c r="A846" s="469"/>
      <c r="B846" s="425"/>
      <c r="C846" s="51"/>
      <c r="D846" s="41"/>
    </row>
    <row r="847" ht="12.75" customHeight="1">
      <c r="A847" s="469"/>
      <c r="B847" s="425"/>
      <c r="C847" s="51"/>
      <c r="D847" s="41"/>
    </row>
    <row r="848" ht="12.75" customHeight="1">
      <c r="A848" s="469"/>
      <c r="B848" s="425"/>
      <c r="C848" s="51"/>
      <c r="D848" s="41"/>
    </row>
    <row r="849" ht="12.75" customHeight="1">
      <c r="A849" s="469"/>
      <c r="B849" s="425"/>
      <c r="C849" s="51"/>
      <c r="D849" s="41"/>
    </row>
    <row r="850" ht="12.75" customHeight="1">
      <c r="A850" s="469"/>
      <c r="B850" s="425"/>
      <c r="C850" s="51"/>
      <c r="D850" s="41"/>
    </row>
    <row r="851" ht="12.75" customHeight="1">
      <c r="A851" s="469"/>
      <c r="B851" s="425"/>
      <c r="C851" s="51"/>
      <c r="D851" s="41"/>
    </row>
    <row r="852" ht="12.75" customHeight="1">
      <c r="A852" s="469"/>
      <c r="B852" s="425"/>
      <c r="C852" s="51"/>
      <c r="D852" s="41"/>
    </row>
    <row r="853" ht="12.75" customHeight="1">
      <c r="A853" s="469"/>
      <c r="B853" s="425"/>
      <c r="C853" s="51"/>
      <c r="D853" s="41"/>
    </row>
    <row r="854" ht="12.75" customHeight="1">
      <c r="A854" s="469"/>
      <c r="B854" s="425"/>
      <c r="C854" s="51"/>
      <c r="D854" s="41"/>
    </row>
    <row r="855" ht="12.75" customHeight="1">
      <c r="A855" s="469"/>
      <c r="B855" s="425"/>
      <c r="C855" s="51"/>
      <c r="D855" s="41"/>
    </row>
    <row r="856" ht="12.75" customHeight="1">
      <c r="A856" s="469"/>
      <c r="B856" s="425"/>
      <c r="C856" s="51"/>
      <c r="D856" s="41"/>
    </row>
    <row r="857" ht="12.75" customHeight="1">
      <c r="A857" s="469"/>
      <c r="B857" s="425"/>
      <c r="C857" s="51"/>
      <c r="D857" s="41"/>
    </row>
    <row r="858" ht="12.75" customHeight="1">
      <c r="A858" s="469"/>
      <c r="B858" s="425"/>
      <c r="C858" s="51"/>
      <c r="D858" s="41"/>
    </row>
    <row r="859" ht="12.75" customHeight="1">
      <c r="A859" s="469"/>
      <c r="B859" s="425"/>
      <c r="C859" s="51"/>
      <c r="D859" s="41"/>
    </row>
    <row r="860" ht="12.75" customHeight="1">
      <c r="A860" s="469"/>
      <c r="B860" s="425"/>
      <c r="C860" s="51"/>
      <c r="D860" s="41"/>
    </row>
    <row r="861" ht="12.75" customHeight="1">
      <c r="A861" s="469"/>
      <c r="B861" s="425"/>
      <c r="C861" s="51"/>
      <c r="D861" s="41"/>
    </row>
    <row r="862" ht="12.75" customHeight="1">
      <c r="A862" s="469"/>
      <c r="B862" s="425"/>
      <c r="C862" s="51"/>
      <c r="D862" s="41"/>
    </row>
    <row r="863" ht="12.75" customHeight="1">
      <c r="A863" s="469"/>
      <c r="B863" s="425"/>
      <c r="C863" s="51"/>
      <c r="D863" s="41"/>
    </row>
    <row r="864" ht="12.75" customHeight="1">
      <c r="A864" s="469"/>
      <c r="B864" s="425"/>
      <c r="C864" s="51"/>
      <c r="D864" s="41"/>
    </row>
    <row r="865" ht="12.75" customHeight="1">
      <c r="A865" s="469"/>
      <c r="B865" s="425"/>
      <c r="C865" s="51"/>
      <c r="D865" s="41"/>
    </row>
    <row r="866" ht="12.75" customHeight="1">
      <c r="A866" s="469"/>
      <c r="B866" s="425"/>
      <c r="C866" s="51"/>
      <c r="D866" s="41"/>
    </row>
    <row r="867" ht="12.75" customHeight="1">
      <c r="A867" s="469"/>
      <c r="B867" s="425"/>
      <c r="C867" s="51"/>
      <c r="D867" s="41"/>
    </row>
    <row r="868" ht="12.75" customHeight="1">
      <c r="A868" s="469"/>
      <c r="B868" s="425"/>
      <c r="C868" s="51"/>
      <c r="D868" s="41"/>
    </row>
    <row r="869" ht="12.75" customHeight="1">
      <c r="A869" s="469"/>
      <c r="B869" s="425"/>
      <c r="C869" s="51"/>
      <c r="D869" s="41"/>
    </row>
    <row r="870" ht="12.75" customHeight="1">
      <c r="A870" s="469"/>
      <c r="B870" s="425"/>
      <c r="C870" s="51"/>
      <c r="D870" s="41"/>
    </row>
    <row r="871" ht="12.75" customHeight="1">
      <c r="A871" s="469"/>
      <c r="B871" s="425"/>
      <c r="C871" s="51"/>
      <c r="D871" s="41"/>
    </row>
    <row r="872" ht="12.75" customHeight="1">
      <c r="A872" s="469"/>
      <c r="B872" s="425"/>
      <c r="C872" s="51"/>
      <c r="D872" s="41"/>
    </row>
    <row r="873" ht="12.75" customHeight="1">
      <c r="A873" s="469"/>
      <c r="B873" s="425"/>
      <c r="C873" s="51"/>
      <c r="D873" s="41"/>
    </row>
    <row r="874" ht="12.75" customHeight="1">
      <c r="A874" s="469"/>
      <c r="B874" s="425"/>
      <c r="C874" s="51"/>
      <c r="D874" s="41"/>
    </row>
    <row r="875" ht="12.75" customHeight="1">
      <c r="A875" s="469"/>
      <c r="B875" s="425"/>
      <c r="C875" s="51"/>
      <c r="D875" s="41"/>
    </row>
    <row r="876" ht="12.75" customHeight="1">
      <c r="A876" s="469"/>
      <c r="B876" s="425"/>
      <c r="C876" s="51"/>
      <c r="D876" s="41"/>
    </row>
    <row r="877" ht="12.75" customHeight="1">
      <c r="A877" s="469"/>
      <c r="B877" s="425"/>
      <c r="C877" s="51"/>
      <c r="D877" s="41"/>
    </row>
    <row r="878" ht="12.75" customHeight="1">
      <c r="A878" s="469"/>
      <c r="B878" s="425"/>
      <c r="C878" s="51"/>
      <c r="D878" s="41"/>
    </row>
    <row r="879" ht="12.75" customHeight="1">
      <c r="A879" s="469"/>
      <c r="B879" s="425"/>
      <c r="C879" s="51"/>
      <c r="D879" s="41"/>
    </row>
    <row r="880" ht="12.75" customHeight="1">
      <c r="A880" s="469"/>
      <c r="B880" s="425"/>
      <c r="C880" s="51"/>
      <c r="D880" s="41"/>
    </row>
    <row r="881" ht="12.75" customHeight="1">
      <c r="A881" s="469"/>
      <c r="B881" s="425"/>
      <c r="C881" s="51"/>
      <c r="D881" s="41"/>
    </row>
    <row r="882" ht="12.75" customHeight="1">
      <c r="A882" s="469"/>
      <c r="B882" s="425"/>
      <c r="C882" s="51"/>
      <c r="D882" s="41"/>
    </row>
    <row r="883" ht="12.75" customHeight="1">
      <c r="A883" s="469"/>
      <c r="B883" s="425"/>
      <c r="C883" s="51"/>
      <c r="D883" s="41"/>
    </row>
    <row r="884" ht="12.75" customHeight="1">
      <c r="A884" s="469"/>
      <c r="B884" s="425"/>
      <c r="C884" s="51"/>
      <c r="D884" s="41"/>
    </row>
    <row r="885" ht="12.75" customHeight="1">
      <c r="A885" s="469"/>
      <c r="B885" s="425"/>
      <c r="C885" s="51"/>
      <c r="D885" s="41"/>
    </row>
    <row r="886" ht="12.75" customHeight="1">
      <c r="A886" s="469"/>
      <c r="B886" s="425"/>
      <c r="C886" s="51"/>
      <c r="D886" s="41"/>
    </row>
    <row r="887" ht="12.75" customHeight="1">
      <c r="A887" s="469"/>
      <c r="B887" s="425"/>
      <c r="C887" s="51"/>
      <c r="D887" s="41"/>
    </row>
    <row r="888" ht="12.75" customHeight="1">
      <c r="A888" s="469"/>
      <c r="B888" s="425"/>
      <c r="C888" s="51"/>
      <c r="D888" s="41"/>
    </row>
    <row r="889" ht="12.75" customHeight="1">
      <c r="A889" s="469"/>
      <c r="B889" s="425"/>
      <c r="C889" s="51"/>
      <c r="D889" s="41"/>
    </row>
    <row r="890" ht="12.75" customHeight="1">
      <c r="A890" s="469"/>
      <c r="B890" s="425"/>
      <c r="C890" s="51"/>
      <c r="D890" s="41"/>
    </row>
    <row r="891" ht="12.75" customHeight="1">
      <c r="A891" s="469"/>
      <c r="B891" s="425"/>
      <c r="C891" s="51"/>
      <c r="D891" s="41"/>
    </row>
    <row r="892" ht="12.75" customHeight="1">
      <c r="A892" s="469"/>
      <c r="B892" s="425"/>
      <c r="C892" s="51"/>
      <c r="D892" s="41"/>
    </row>
    <row r="893" ht="12.75" customHeight="1">
      <c r="A893" s="469"/>
      <c r="B893" s="425"/>
      <c r="C893" s="51"/>
      <c r="D893" s="41"/>
    </row>
    <row r="894" ht="12.75" customHeight="1">
      <c r="A894" s="469"/>
      <c r="B894" s="425"/>
      <c r="C894" s="51"/>
      <c r="D894" s="41"/>
    </row>
    <row r="895" ht="12.75" customHeight="1">
      <c r="A895" s="469"/>
      <c r="B895" s="425"/>
      <c r="C895" s="51"/>
      <c r="D895" s="41"/>
    </row>
    <row r="896" ht="12.75" customHeight="1">
      <c r="A896" s="469"/>
      <c r="B896" s="425"/>
      <c r="C896" s="51"/>
      <c r="D896" s="41"/>
    </row>
    <row r="897" ht="12.75" customHeight="1">
      <c r="A897" s="469"/>
      <c r="B897" s="425"/>
      <c r="C897" s="51"/>
      <c r="D897" s="41"/>
    </row>
    <row r="898" ht="12.75" customHeight="1">
      <c r="A898" s="469"/>
      <c r="B898" s="425"/>
      <c r="C898" s="51"/>
      <c r="D898" s="41"/>
    </row>
    <row r="899" ht="12.75" customHeight="1">
      <c r="A899" s="469"/>
      <c r="B899" s="425"/>
      <c r="C899" s="51"/>
      <c r="D899" s="41"/>
    </row>
    <row r="900" ht="12.75" customHeight="1">
      <c r="A900" s="469"/>
      <c r="B900" s="425"/>
      <c r="C900" s="51"/>
      <c r="D900" s="41"/>
    </row>
    <row r="901" ht="12.75" customHeight="1">
      <c r="A901" s="469"/>
      <c r="B901" s="425"/>
      <c r="C901" s="51"/>
      <c r="D901" s="41"/>
    </row>
    <row r="902" ht="12.75" customHeight="1">
      <c r="A902" s="469"/>
      <c r="B902" s="425"/>
      <c r="C902" s="51"/>
      <c r="D902" s="41"/>
    </row>
    <row r="903" ht="12.75" customHeight="1">
      <c r="A903" s="469"/>
      <c r="B903" s="425"/>
      <c r="C903" s="51"/>
      <c r="D903" s="41"/>
    </row>
    <row r="904" ht="12.75" customHeight="1">
      <c r="A904" s="469"/>
      <c r="B904" s="425"/>
      <c r="C904" s="51"/>
      <c r="D904" s="41"/>
    </row>
    <row r="905" ht="12.75" customHeight="1">
      <c r="A905" s="469"/>
      <c r="B905" s="425"/>
      <c r="C905" s="51"/>
      <c r="D905" s="41"/>
    </row>
    <row r="906" ht="12.75" customHeight="1">
      <c r="A906" s="469"/>
      <c r="B906" s="425"/>
      <c r="C906" s="51"/>
      <c r="D906" s="41"/>
    </row>
    <row r="907" ht="12.75" customHeight="1">
      <c r="A907" s="469"/>
      <c r="B907" s="425"/>
      <c r="C907" s="51"/>
      <c r="D907" s="41"/>
    </row>
    <row r="908" ht="12.75" customHeight="1">
      <c r="A908" s="469"/>
      <c r="B908" s="425"/>
      <c r="C908" s="51"/>
      <c r="D908" s="41"/>
    </row>
    <row r="909" ht="12.75" customHeight="1">
      <c r="A909" s="469"/>
      <c r="B909" s="425"/>
      <c r="C909" s="51"/>
      <c r="D909" s="41"/>
    </row>
    <row r="910" ht="12.75" customHeight="1">
      <c r="A910" s="469"/>
      <c r="B910" s="425"/>
      <c r="C910" s="51"/>
      <c r="D910" s="41"/>
    </row>
    <row r="911" ht="12.75" customHeight="1">
      <c r="A911" s="469"/>
      <c r="B911" s="425"/>
      <c r="C911" s="51"/>
      <c r="D911" s="41"/>
    </row>
    <row r="912" ht="12.75" customHeight="1">
      <c r="A912" s="469"/>
      <c r="B912" s="425"/>
      <c r="C912" s="51"/>
      <c r="D912" s="41"/>
    </row>
    <row r="913" ht="12.75" customHeight="1">
      <c r="A913" s="469"/>
      <c r="B913" s="425"/>
      <c r="C913" s="51"/>
      <c r="D913" s="41"/>
    </row>
    <row r="914" ht="12.75" customHeight="1">
      <c r="A914" s="469"/>
      <c r="B914" s="425"/>
      <c r="C914" s="51"/>
      <c r="D914" s="41"/>
    </row>
    <row r="915" ht="12.75" customHeight="1">
      <c r="A915" s="469"/>
      <c r="B915" s="425"/>
      <c r="C915" s="51"/>
      <c r="D915" s="41"/>
    </row>
    <row r="916" ht="12.75" customHeight="1">
      <c r="A916" s="469"/>
      <c r="B916" s="425"/>
      <c r="C916" s="51"/>
      <c r="D916" s="41"/>
    </row>
    <row r="917" ht="12.75" customHeight="1">
      <c r="A917" s="469"/>
      <c r="B917" s="425"/>
      <c r="C917" s="51"/>
      <c r="D917" s="41"/>
    </row>
    <row r="918" ht="12.75" customHeight="1">
      <c r="A918" s="469"/>
      <c r="B918" s="425"/>
      <c r="C918" s="51"/>
      <c r="D918" s="41"/>
    </row>
    <row r="919" ht="12.75" customHeight="1">
      <c r="A919" s="469"/>
      <c r="B919" s="425"/>
      <c r="C919" s="51"/>
      <c r="D919" s="41"/>
    </row>
    <row r="920" ht="12.75" customHeight="1">
      <c r="A920" s="469"/>
      <c r="B920" s="425"/>
      <c r="C920" s="51"/>
      <c r="D920" s="41"/>
    </row>
    <row r="921" ht="12.75" customHeight="1">
      <c r="A921" s="469"/>
      <c r="B921" s="425"/>
      <c r="C921" s="51"/>
      <c r="D921" s="41"/>
    </row>
    <row r="922" ht="12.75" customHeight="1">
      <c r="A922" s="469"/>
      <c r="B922" s="425"/>
      <c r="C922" s="51"/>
      <c r="D922" s="41"/>
    </row>
    <row r="923" ht="12.75" customHeight="1">
      <c r="A923" s="469"/>
      <c r="B923" s="425"/>
      <c r="C923" s="51"/>
      <c r="D923" s="41"/>
    </row>
    <row r="924" ht="12.75" customHeight="1">
      <c r="A924" s="469"/>
      <c r="B924" s="425"/>
      <c r="C924" s="51"/>
      <c r="D924" s="41"/>
    </row>
    <row r="925" ht="12.75" customHeight="1">
      <c r="A925" s="469"/>
      <c r="B925" s="425"/>
      <c r="C925" s="51"/>
      <c r="D925" s="41"/>
    </row>
    <row r="926" ht="12.75" customHeight="1">
      <c r="A926" s="469"/>
      <c r="B926" s="425"/>
      <c r="C926" s="51"/>
      <c r="D926" s="41"/>
    </row>
    <row r="927" ht="12.75" customHeight="1">
      <c r="A927" s="469"/>
      <c r="B927" s="425"/>
      <c r="C927" s="51"/>
      <c r="D927" s="41"/>
    </row>
    <row r="928" ht="12.75" customHeight="1">
      <c r="A928" s="469"/>
      <c r="B928" s="425"/>
      <c r="C928" s="51"/>
      <c r="D928" s="41"/>
    </row>
    <row r="929" ht="12.75" customHeight="1">
      <c r="A929" s="469"/>
      <c r="B929" s="425"/>
      <c r="C929" s="51"/>
      <c r="D929" s="41"/>
    </row>
    <row r="930" ht="12.75" customHeight="1">
      <c r="A930" s="469"/>
      <c r="B930" s="425"/>
      <c r="C930" s="51"/>
      <c r="D930" s="41"/>
    </row>
    <row r="931" ht="12.75" customHeight="1">
      <c r="A931" s="469"/>
      <c r="B931" s="425"/>
      <c r="C931" s="51"/>
      <c r="D931" s="41"/>
    </row>
    <row r="932" ht="12.75" customHeight="1">
      <c r="A932" s="469"/>
      <c r="B932" s="425"/>
      <c r="C932" s="51"/>
      <c r="D932" s="41"/>
    </row>
    <row r="933" ht="12.75" customHeight="1">
      <c r="A933" s="469"/>
      <c r="B933" s="425"/>
      <c r="C933" s="51"/>
      <c r="D933" s="41"/>
    </row>
    <row r="934" ht="12.75" customHeight="1">
      <c r="A934" s="469"/>
      <c r="B934" s="425"/>
      <c r="C934" s="51"/>
      <c r="D934" s="41"/>
    </row>
    <row r="935" ht="12.75" customHeight="1">
      <c r="A935" s="469"/>
      <c r="B935" s="425"/>
      <c r="C935" s="51"/>
      <c r="D935" s="41"/>
    </row>
    <row r="936" ht="12.75" customHeight="1">
      <c r="A936" s="469"/>
      <c r="B936" s="425"/>
      <c r="C936" s="51"/>
      <c r="D936" s="41"/>
    </row>
    <row r="937" ht="12.75" customHeight="1">
      <c r="A937" s="469"/>
      <c r="B937" s="425"/>
      <c r="C937" s="51"/>
      <c r="D937" s="41"/>
    </row>
    <row r="938" ht="12.75" customHeight="1">
      <c r="A938" s="469"/>
      <c r="B938" s="425"/>
      <c r="C938" s="51"/>
      <c r="D938" s="41"/>
    </row>
    <row r="939" ht="12.75" customHeight="1">
      <c r="A939" s="469"/>
      <c r="B939" s="425"/>
      <c r="C939" s="51"/>
      <c r="D939" s="41"/>
    </row>
    <row r="940" ht="12.75" customHeight="1">
      <c r="A940" s="469"/>
      <c r="B940" s="425"/>
      <c r="C940" s="51"/>
      <c r="D940" s="41"/>
    </row>
    <row r="941" ht="12.75" customHeight="1">
      <c r="A941" s="469"/>
      <c r="B941" s="425"/>
      <c r="C941" s="51"/>
      <c r="D941" s="41"/>
    </row>
    <row r="942" ht="12.75" customHeight="1">
      <c r="A942" s="469"/>
      <c r="B942" s="425"/>
      <c r="C942" s="51"/>
      <c r="D942" s="41"/>
    </row>
    <row r="943" ht="12.75" customHeight="1">
      <c r="A943" s="469"/>
      <c r="B943" s="425"/>
      <c r="C943" s="51"/>
      <c r="D943" s="41"/>
    </row>
    <row r="944" ht="12.75" customHeight="1">
      <c r="A944" s="469"/>
      <c r="B944" s="425"/>
      <c r="C944" s="51"/>
      <c r="D944" s="41"/>
    </row>
    <row r="945" ht="12.75" customHeight="1">
      <c r="A945" s="469"/>
      <c r="B945" s="425"/>
      <c r="C945" s="51"/>
      <c r="D945" s="41"/>
    </row>
    <row r="946" ht="12.75" customHeight="1">
      <c r="A946" s="469"/>
      <c r="B946" s="425"/>
      <c r="C946" s="51"/>
      <c r="D946" s="41"/>
    </row>
    <row r="947" ht="12.75" customHeight="1">
      <c r="A947" s="469"/>
      <c r="B947" s="425"/>
      <c r="C947" s="51"/>
      <c r="D947" s="41"/>
    </row>
    <row r="948" ht="12.75" customHeight="1">
      <c r="A948" s="469"/>
      <c r="B948" s="425"/>
      <c r="C948" s="51"/>
      <c r="D948" s="41"/>
    </row>
    <row r="949" ht="12.75" customHeight="1">
      <c r="A949" s="469"/>
      <c r="B949" s="425"/>
      <c r="C949" s="51"/>
      <c r="D949" s="41"/>
    </row>
    <row r="950" ht="12.75" customHeight="1">
      <c r="A950" s="469"/>
      <c r="B950" s="425"/>
      <c r="C950" s="51"/>
      <c r="D950" s="41"/>
    </row>
    <row r="951" ht="12.75" customHeight="1">
      <c r="A951" s="469"/>
      <c r="B951" s="425"/>
      <c r="C951" s="51"/>
      <c r="D951" s="41"/>
    </row>
    <row r="952" ht="12.75" customHeight="1">
      <c r="A952" s="469"/>
      <c r="B952" s="425"/>
      <c r="C952" s="51"/>
      <c r="D952" s="41"/>
    </row>
    <row r="953" ht="12.75" customHeight="1">
      <c r="A953" s="469"/>
      <c r="B953" s="425"/>
      <c r="C953" s="51"/>
      <c r="D953" s="41"/>
    </row>
    <row r="954" ht="12.75" customHeight="1">
      <c r="A954" s="469"/>
      <c r="B954" s="425"/>
      <c r="C954" s="51"/>
      <c r="D954" s="41"/>
    </row>
    <row r="955" ht="12.75" customHeight="1">
      <c r="A955" s="469"/>
      <c r="B955" s="425"/>
      <c r="C955" s="51"/>
      <c r="D955" s="41"/>
    </row>
    <row r="956" ht="12.75" customHeight="1">
      <c r="A956" s="469"/>
      <c r="B956" s="425"/>
      <c r="C956" s="51"/>
      <c r="D956" s="41"/>
    </row>
    <row r="957" ht="12.75" customHeight="1">
      <c r="A957" s="469"/>
      <c r="B957" s="425"/>
      <c r="C957" s="51"/>
      <c r="D957" s="41"/>
    </row>
    <row r="958" ht="12.75" customHeight="1">
      <c r="A958" s="469"/>
      <c r="B958" s="425"/>
      <c r="C958" s="51"/>
      <c r="D958" s="41"/>
    </row>
    <row r="959" ht="12.75" customHeight="1">
      <c r="A959" s="469"/>
      <c r="B959" s="425"/>
      <c r="C959" s="51"/>
      <c r="D959" s="41"/>
    </row>
    <row r="960" ht="12.75" customHeight="1">
      <c r="A960" s="469"/>
      <c r="B960" s="425"/>
      <c r="C960" s="51"/>
      <c r="D960" s="41"/>
    </row>
    <row r="961" ht="12.75" customHeight="1">
      <c r="A961" s="469"/>
      <c r="B961" s="425"/>
      <c r="C961" s="51"/>
      <c r="D961" s="41"/>
    </row>
    <row r="962" ht="12.75" customHeight="1">
      <c r="A962" s="469"/>
      <c r="B962" s="425"/>
      <c r="C962" s="51"/>
      <c r="D962" s="41"/>
    </row>
    <row r="963" ht="12.75" customHeight="1">
      <c r="A963" s="469"/>
      <c r="B963" s="425"/>
      <c r="C963" s="51"/>
      <c r="D963" s="41"/>
    </row>
    <row r="964" ht="12.75" customHeight="1">
      <c r="A964" s="469"/>
      <c r="B964" s="425"/>
      <c r="C964" s="51"/>
      <c r="D964" s="41"/>
    </row>
    <row r="965" ht="12.75" customHeight="1">
      <c r="A965" s="469"/>
      <c r="B965" s="425"/>
      <c r="C965" s="51"/>
      <c r="D965" s="41"/>
    </row>
    <row r="966" ht="12.75" customHeight="1">
      <c r="A966" s="469"/>
      <c r="B966" s="425"/>
      <c r="C966" s="51"/>
      <c r="D966" s="41"/>
    </row>
    <row r="967" ht="12.75" customHeight="1">
      <c r="A967" s="469"/>
      <c r="B967" s="425"/>
      <c r="C967" s="51"/>
      <c r="D967" s="41"/>
    </row>
    <row r="968" ht="12.75" customHeight="1">
      <c r="A968" s="469"/>
      <c r="B968" s="425"/>
      <c r="C968" s="51"/>
      <c r="D968" s="41"/>
    </row>
    <row r="969" ht="12.75" customHeight="1">
      <c r="A969" s="469"/>
      <c r="B969" s="425"/>
      <c r="C969" s="51"/>
      <c r="D969" s="41"/>
    </row>
    <row r="970" ht="12.75" customHeight="1">
      <c r="A970" s="469"/>
      <c r="B970" s="425"/>
      <c r="C970" s="51"/>
      <c r="D970" s="41"/>
    </row>
    <row r="971" ht="12.75" customHeight="1">
      <c r="A971" s="469"/>
      <c r="B971" s="425"/>
      <c r="C971" s="51"/>
      <c r="D971" s="41"/>
    </row>
    <row r="972" ht="12.75" customHeight="1">
      <c r="A972" s="469"/>
      <c r="B972" s="425"/>
      <c r="C972" s="51"/>
      <c r="D972" s="41"/>
    </row>
    <row r="973" ht="12.75" customHeight="1">
      <c r="A973" s="469"/>
      <c r="B973" s="425"/>
      <c r="C973" s="51"/>
      <c r="D973" s="41"/>
    </row>
    <row r="974" ht="12.75" customHeight="1">
      <c r="A974" s="469"/>
      <c r="B974" s="425"/>
      <c r="C974" s="51"/>
      <c r="D974" s="41"/>
    </row>
    <row r="975" ht="12.75" customHeight="1">
      <c r="A975" s="469"/>
      <c r="B975" s="425"/>
      <c r="C975" s="51"/>
      <c r="D975" s="41"/>
    </row>
    <row r="976" ht="12.75" customHeight="1">
      <c r="A976" s="469"/>
      <c r="B976" s="425"/>
      <c r="C976" s="51"/>
      <c r="D976" s="41"/>
    </row>
    <row r="977" ht="12.75" customHeight="1">
      <c r="A977" s="469"/>
      <c r="B977" s="425"/>
      <c r="C977" s="51"/>
      <c r="D977" s="41"/>
    </row>
    <row r="978" ht="12.75" customHeight="1">
      <c r="A978" s="469"/>
      <c r="B978" s="425"/>
      <c r="C978" s="51"/>
      <c r="D978" s="41"/>
    </row>
    <row r="979" ht="12.75" customHeight="1">
      <c r="A979" s="469"/>
      <c r="B979" s="425"/>
      <c r="C979" s="51"/>
      <c r="D979" s="41"/>
    </row>
    <row r="980" ht="12.75" customHeight="1">
      <c r="A980" s="469"/>
      <c r="B980" s="425"/>
      <c r="C980" s="51"/>
      <c r="D980" s="41"/>
    </row>
    <row r="981" ht="12.75" customHeight="1">
      <c r="A981" s="469"/>
      <c r="B981" s="425"/>
      <c r="C981" s="51"/>
      <c r="D981" s="41"/>
    </row>
    <row r="982" ht="12.75" customHeight="1">
      <c r="A982" s="469"/>
      <c r="B982" s="425"/>
      <c r="C982" s="51"/>
      <c r="D982" s="41"/>
    </row>
    <row r="983" ht="12.75" customHeight="1">
      <c r="A983" s="469"/>
      <c r="B983" s="425"/>
      <c r="C983" s="51"/>
      <c r="D983" s="41"/>
    </row>
    <row r="984" ht="12.75" customHeight="1">
      <c r="A984" s="469"/>
      <c r="B984" s="425"/>
      <c r="C984" s="51"/>
      <c r="D984" s="41"/>
    </row>
    <row r="985" ht="12.75" customHeight="1">
      <c r="A985" s="469"/>
      <c r="B985" s="425"/>
      <c r="C985" s="51"/>
      <c r="D985" s="41"/>
    </row>
    <row r="986" ht="12.75" customHeight="1">
      <c r="A986" s="469"/>
      <c r="B986" s="425"/>
      <c r="C986" s="51"/>
      <c r="D986" s="41"/>
    </row>
    <row r="987" ht="12.75" customHeight="1">
      <c r="A987" s="469"/>
      <c r="B987" s="425"/>
      <c r="C987" s="51"/>
      <c r="D987" s="41"/>
    </row>
    <row r="988" ht="12.75" customHeight="1">
      <c r="A988" s="469"/>
      <c r="B988" s="425"/>
      <c r="C988" s="51"/>
      <c r="D988" s="41"/>
    </row>
    <row r="989" ht="12.75" customHeight="1">
      <c r="A989" s="469"/>
      <c r="B989" s="425"/>
      <c r="C989" s="51"/>
      <c r="D989" s="41"/>
    </row>
    <row r="990" ht="12.75" customHeight="1">
      <c r="A990" s="469"/>
      <c r="B990" s="425"/>
      <c r="C990" s="51"/>
      <c r="D990" s="41"/>
    </row>
    <row r="991" ht="12.75" customHeight="1">
      <c r="A991" s="469"/>
      <c r="B991" s="425"/>
      <c r="C991" s="51"/>
      <c r="D991" s="41"/>
    </row>
    <row r="992" ht="12.75" customHeight="1">
      <c r="A992" s="469"/>
      <c r="B992" s="425"/>
      <c r="C992" s="51"/>
      <c r="D992" s="41"/>
    </row>
    <row r="993" ht="12.75" customHeight="1">
      <c r="A993" s="469"/>
      <c r="B993" s="425"/>
      <c r="C993" s="51"/>
      <c r="D993" s="41"/>
    </row>
    <row r="994" ht="12.75" customHeight="1">
      <c r="A994" s="469"/>
      <c r="B994" s="425"/>
      <c r="C994" s="51"/>
      <c r="D994" s="41"/>
    </row>
    <row r="995" ht="12.75" customHeight="1">
      <c r="A995" s="469"/>
      <c r="B995" s="425"/>
      <c r="C995" s="51"/>
      <c r="D995" s="41"/>
    </row>
    <row r="996" ht="12.75" customHeight="1">
      <c r="A996" s="469"/>
      <c r="B996" s="425"/>
      <c r="C996" s="51"/>
      <c r="D996" s="41"/>
    </row>
    <row r="997" ht="12.75" customHeight="1">
      <c r="A997" s="469"/>
      <c r="B997" s="425"/>
      <c r="C997" s="51"/>
      <c r="D997" s="41"/>
    </row>
    <row r="998" ht="12.75" customHeight="1">
      <c r="A998" s="469"/>
      <c r="B998" s="425"/>
      <c r="C998" s="51"/>
      <c r="D998" s="41"/>
    </row>
    <row r="999" ht="12.75" customHeight="1">
      <c r="A999" s="469"/>
      <c r="B999" s="425"/>
      <c r="C999" s="51"/>
      <c r="D999" s="41"/>
    </row>
    <row r="1000" ht="12.75" customHeight="1">
      <c r="A1000" s="469"/>
      <c r="B1000" s="425"/>
      <c r="C1000" s="51"/>
      <c r="D1000" s="41"/>
    </row>
  </sheetData>
  <hyperlinks>
    <hyperlink display="Cover" location="Cover!A1" ref="A2"/>
    <hyperlink display="Cover" location="Cover!A1" ref="A3"/>
    <hyperlink display="Cover" location="Cover!A1" ref="A4"/>
    <hyperlink display="Cover" location="Cover!A1" ref="A5"/>
    <hyperlink display="Cover" location="Cover!A1" ref="A6"/>
    <hyperlink display="Charter contact info" location="'Charter Contacts'!A1" ref="A7"/>
    <hyperlink display="Charter management info" location="'Charter Contacts'!A1" ref="A8"/>
    <hyperlink display="'Page 1'!A1" location="'Page 1'!A1" ref="A9"/>
    <hyperlink display="'Page 1'!A1" location="'Page 1'!A1" ref="A10"/>
    <hyperlink r:id="rId1" ref="C11"/>
    <hyperlink display="'Page 1'!A1" location="'Page 1'!A1" ref="A12"/>
    <hyperlink display="'Page 1'!A1" location="'Page 1'!A1" ref="A13"/>
    <hyperlink display="'Page 2'!A1" location="'Page 2'!A1" ref="A14"/>
    <hyperlink display="'Page 2'!A1" location="'Page 2'!A1" ref="A15"/>
    <hyperlink display="'Page 2'!A1" location="'Page 2'!A1" ref="A16"/>
    <hyperlink display="'Page 2'!A1" location="'Page 2'!A1" ref="A17"/>
    <hyperlink display="'Page 2'!A1" location="'Page 2'!A1" ref="A18"/>
    <hyperlink display="'Page 2'!A1" location="'Page 2'!A1" ref="A19"/>
    <hyperlink display="'Page 2'!A1" location="'Page 2'!A1" ref="A20"/>
    <hyperlink display="'Page 2'!A1" location="'Page 2'!A1" ref="A21"/>
    <hyperlink display="'Page 2'!A1" location="'Page 2'!A1" ref="A22"/>
    <hyperlink display="'Page 2'!A1" location="'Page 2'!A1" ref="A23"/>
    <hyperlink display="'Page 2'!A1" location="'Page 2'!A1" ref="A24"/>
    <hyperlink display="'Page 2'!A1" location="'Page 2'!A1" ref="A25"/>
    <hyperlink display="'Page 2'!A1" location="'Page 2'!A1" ref="A26"/>
    <hyperlink display="'Page 3'!A1" location="'Page 3'!A1" ref="A27"/>
    <hyperlink display="'Page 3'!A1" location="'Page 3'!A1" ref="A28"/>
    <hyperlink display="'Page 3'!A1" location="'Page 3'!A1" ref="A29"/>
    <hyperlink display="'Page 4'!A1" location="'Page 4'!A1" ref="A30"/>
    <hyperlink display="'Page 4'!A1" location="'Page 4'!A1" ref="A31"/>
    <hyperlink display="Budget Summary" location="'Budget Summary'!A1" ref="A32"/>
    <hyperlink display="Project balances" location="'Project balances'!A1" ref="A33"/>
    <hyperlink display="Project balances" location="'Project balances'!A1" ref="A34"/>
    <hyperlink display="Project balances" location="'Project balances'!A1" ref="A35"/>
    <hyperlink display="Project balances" location="'Project balances'!A1" ref="A36"/>
    <hyperlink display="Project balances" location="'Project balances'!A1" ref="A37"/>
    <hyperlink display="Project balances" location="'Project balances'!A1" ref="A38"/>
    <hyperlink display="Project balances" location="'Project balances'!A1" ref="A39"/>
    <hyperlink display="Project balances" location="'Project balances'!A1" ref="A40"/>
    <hyperlink display="Project balances" location="'Project balances'!A1" ref="A41"/>
    <hyperlink display="Project balances" location="'Project balances'!A1" ref="A42"/>
  </hyperlinks>
  <printOptions/>
  <pageMargins bottom="0.75" footer="0.0" header="0.0" left="0.7" right="0.7" top="0.75"/>
  <pageSetup orientation="landscape"/>
  <headerFooter>
    <oddFooter>&amp;LRev. 5/24 Arizona Department of Education and Auditor General&amp;RInstructions</oddFooter>
  </headerFooter>
  <rowBreaks count="2" manualBreakCount="2">
    <brk id="7" man="1"/>
    <brk id="14" man="1"/>
  </rowBreaks>
  <drawing r:id="rId2"/>
</worksheet>
</file>